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A48E00C0-1D5B-474E-8462-7F1625B37257}" xr6:coauthVersionLast="47" xr6:coauthVersionMax="47" xr10:uidLastSave="{00000000-0000-0000-0000-000000000000}"/>
  <bookViews>
    <workbookView xWindow="-120" yWindow="-120" windowWidth="29040" windowHeight="15720" tabRatio="571" firstSheet="1" activeTab="2" xr2:uid="{00000000-000D-0000-FFFF-FFFF00000000}"/>
  </bookViews>
  <sheets>
    <sheet name="расшиф кривой год" sheetId="24" state="hidden" r:id="rId1"/>
    <sheet name="Тар. сметы за 2024 г.(пит.вода)" sheetId="16" r:id="rId2"/>
    <sheet name="Тар. сметы за 2024 г.(стоки)" sheetId="1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'расшиф кривой год'!$A$1:$B$383</definedName>
    <definedName name="_xlnm.Print_Area" localSheetId="1">'Тар. сметы за 2024 г.(пит.вода)'!$A$1:$I$160</definedName>
    <definedName name="_xlnm.Print_Area" localSheetId="2">'Тар. сметы за 2024 г.(стоки)'!$A$1:$H$148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4" i="17" l="1"/>
  <c r="G11" i="17"/>
  <c r="G10" i="17"/>
  <c r="F10" i="17"/>
  <c r="F17" i="17"/>
  <c r="F11" i="17"/>
  <c r="G10" i="16"/>
  <c r="H10" i="16" s="1"/>
  <c r="F10" i="16"/>
  <c r="H18" i="16"/>
  <c r="G18" i="16"/>
  <c r="F18" i="16"/>
  <c r="F11" i="16"/>
  <c r="F125" i="17"/>
  <c r="F121" i="17"/>
  <c r="F119" i="17"/>
  <c r="F118" i="17"/>
  <c r="F117" i="17"/>
  <c r="F116" i="17"/>
  <c r="F115" i="17"/>
  <c r="F112" i="17"/>
  <c r="F111" i="17"/>
  <c r="F110" i="17"/>
  <c r="F107" i="17"/>
  <c r="F108" i="17" s="1"/>
  <c r="F105" i="17"/>
  <c r="F104" i="17"/>
  <c r="F101" i="17"/>
  <c r="F100" i="17"/>
  <c r="F98" i="17"/>
  <c r="F90" i="17"/>
  <c r="F87" i="17"/>
  <c r="F86" i="17"/>
  <c r="F85" i="17"/>
  <c r="F83" i="17"/>
  <c r="F82" i="17"/>
  <c r="F81" i="17"/>
  <c r="F80" i="17"/>
  <c r="F79" i="17"/>
  <c r="F78" i="17"/>
  <c r="F76" i="17"/>
  <c r="F70" i="17"/>
  <c r="F68" i="17"/>
  <c r="F67" i="17"/>
  <c r="F64" i="17"/>
  <c r="F65" i="17"/>
  <c r="E65" i="17"/>
  <c r="F61" i="17"/>
  <c r="F57" i="17"/>
  <c r="F56" i="17"/>
  <c r="F55" i="17"/>
  <c r="F54" i="17"/>
  <c r="F53" i="17"/>
  <c r="F49" i="17"/>
  <c r="F48" i="17"/>
  <c r="F45" i="17"/>
  <c r="F43" i="17"/>
  <c r="F41" i="17"/>
  <c r="F40" i="17"/>
  <c r="F39" i="17"/>
  <c r="F36" i="17"/>
  <c r="F35" i="17"/>
  <c r="F34" i="17"/>
  <c r="F33" i="17"/>
  <c r="F32" i="17"/>
  <c r="F30" i="17"/>
  <c r="F29" i="17"/>
  <c r="F12" i="17"/>
  <c r="F9" i="17"/>
  <c r="E144" i="17"/>
  <c r="E143" i="17"/>
  <c r="E142" i="17"/>
  <c r="E140" i="17"/>
  <c r="E139" i="17"/>
  <c r="E138" i="17"/>
  <c r="E134" i="17"/>
  <c r="E133" i="17"/>
  <c r="E132" i="17"/>
  <c r="E122" i="17"/>
  <c r="E123" i="17"/>
  <c r="E124" i="17"/>
  <c r="E125" i="17"/>
  <c r="E126" i="17"/>
  <c r="E121" i="17"/>
  <c r="E116" i="17"/>
  <c r="E117" i="17"/>
  <c r="E118" i="17"/>
  <c r="E119" i="17"/>
  <c r="E115" i="17"/>
  <c r="E110" i="17"/>
  <c r="E111" i="17"/>
  <c r="E112" i="17"/>
  <c r="E113" i="17"/>
  <c r="E107" i="17"/>
  <c r="E108" i="17" s="1"/>
  <c r="E86" i="17"/>
  <c r="E87" i="17"/>
  <c r="E88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85" i="17"/>
  <c r="E79" i="17"/>
  <c r="E80" i="17"/>
  <c r="E81" i="17"/>
  <c r="E82" i="17"/>
  <c r="E83" i="17"/>
  <c r="E78" i="17"/>
  <c r="E67" i="17"/>
  <c r="E68" i="17"/>
  <c r="E69" i="17"/>
  <c r="E70" i="17"/>
  <c r="E71" i="17"/>
  <c r="E72" i="17"/>
  <c r="E73" i="17"/>
  <c r="E74" i="17"/>
  <c r="E75" i="17"/>
  <c r="E76" i="17"/>
  <c r="E64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38" i="17"/>
  <c r="E33" i="17"/>
  <c r="E34" i="17"/>
  <c r="E35" i="17"/>
  <c r="E36" i="17"/>
  <c r="E32" i="17"/>
  <c r="E30" i="17"/>
  <c r="E20" i="17"/>
  <c r="E21" i="17"/>
  <c r="E22" i="17"/>
  <c r="E23" i="17"/>
  <c r="E24" i="17" s="1"/>
  <c r="E26" i="17"/>
  <c r="F26" i="17" s="1"/>
  <c r="F20" i="17" s="1"/>
  <c r="E27" i="17"/>
  <c r="F27" i="17" s="1"/>
  <c r="F21" i="17" s="1"/>
  <c r="E28" i="17"/>
  <c r="F28" i="17" s="1"/>
  <c r="F22" i="17" s="1"/>
  <c r="E29" i="17"/>
  <c r="E17" i="17"/>
  <c r="E18" i="17" s="1"/>
  <c r="E10" i="17"/>
  <c r="E11" i="17"/>
  <c r="E13" i="17"/>
  <c r="E14" i="17"/>
  <c r="E15" i="17"/>
  <c r="E9" i="17"/>
  <c r="F23" i="17" l="1"/>
  <c r="E135" i="17"/>
  <c r="F135" i="17" s="1"/>
  <c r="D108" i="17"/>
  <c r="D141" i="17"/>
  <c r="E141" i="17" s="1"/>
  <c r="D127" i="17"/>
  <c r="D16" i="17"/>
  <c r="D65" i="17"/>
  <c r="D24" i="17"/>
  <c r="E129" i="17"/>
  <c r="E128" i="17"/>
  <c r="D18" i="17"/>
  <c r="F18" i="17" l="1"/>
  <c r="F24" i="17"/>
  <c r="E16" i="17"/>
  <c r="E137" i="17"/>
  <c r="F146" i="17"/>
  <c r="F141" i="17"/>
  <c r="F137" i="17"/>
  <c r="E120" i="17"/>
  <c r="E114" i="17" s="1"/>
  <c r="E106" i="17" s="1"/>
  <c r="E37" i="17"/>
  <c r="E127" i="17"/>
  <c r="E84" i="17"/>
  <c r="E77" i="17" s="1"/>
  <c r="E63" i="17" s="1"/>
  <c r="E31" i="17"/>
  <c r="E145" i="17" l="1"/>
  <c r="E62" i="17"/>
  <c r="F145" i="17"/>
  <c r="F148" i="17"/>
  <c r="F147" i="17"/>
  <c r="F16" i="17" l="1"/>
  <c r="D84" i="17" l="1"/>
  <c r="D77" i="17" s="1"/>
  <c r="D63" i="17" s="1"/>
  <c r="D8" i="17" l="1"/>
  <c r="D37" i="17" l="1"/>
  <c r="D31" i="17" l="1"/>
  <c r="D7" i="17" s="1"/>
  <c r="E8" i="17"/>
  <c r="E7" i="17" l="1"/>
  <c r="E130" i="17" s="1"/>
  <c r="E131" i="17" l="1"/>
  <c r="D120" i="17" l="1"/>
  <c r="D114" i="17" s="1"/>
  <c r="D106" i="17" l="1"/>
  <c r="D62" i="17" s="1"/>
  <c r="D130" i="17" s="1"/>
  <c r="D137" i="17" l="1"/>
  <c r="D145" i="17" l="1"/>
  <c r="D131" i="17"/>
  <c r="F37" i="17" l="1"/>
  <c r="F31" i="17" s="1"/>
  <c r="F8" i="17"/>
  <c r="E378" i="24" l="1"/>
  <c r="F268" i="24"/>
  <c r="E263" i="24"/>
  <c r="D244" i="24"/>
  <c r="D236" i="24" s="1"/>
  <c r="D352" i="24"/>
  <c r="D357" i="24"/>
  <c r="D361" i="24"/>
  <c r="D367" i="24"/>
  <c r="D380" i="24"/>
  <c r="D385" i="24"/>
  <c r="D386" i="24" s="1"/>
  <c r="D306" i="24"/>
  <c r="D296" i="24"/>
  <c r="D293" i="24"/>
  <c r="D328" i="24"/>
  <c r="D337" i="24"/>
  <c r="D313" i="24"/>
  <c r="D310" i="24" s="1"/>
  <c r="D347" i="24"/>
  <c r="D342" i="24"/>
  <c r="D340" i="24"/>
  <c r="E340" i="24" s="1"/>
  <c r="D331" i="24"/>
  <c r="D305" i="24"/>
  <c r="D301" i="24" s="1"/>
  <c r="D231" i="24"/>
  <c r="D208" i="24"/>
  <c r="D275" i="24"/>
  <c r="D279" i="24"/>
  <c r="D230" i="24"/>
  <c r="D225" i="24" s="1"/>
  <c r="D213" i="24"/>
  <c r="D212" i="24" s="1"/>
  <c r="D286" i="24"/>
  <c r="D288" i="24"/>
  <c r="D283" i="24"/>
  <c r="D316" i="24" l="1"/>
  <c r="D348" i="24" s="1"/>
  <c r="D289" i="24"/>
  <c r="E80" i="24"/>
  <c r="D45" i="24"/>
  <c r="D176" i="24" l="1"/>
  <c r="D185" i="24"/>
  <c r="D191" i="24"/>
  <c r="D198" i="24"/>
  <c r="D194" i="24"/>
  <c r="E194" i="24" s="1"/>
  <c r="D170" i="24"/>
  <c r="D166" i="24"/>
  <c r="D181" i="24" l="1"/>
  <c r="D199" i="24" s="1"/>
  <c r="D153" i="24"/>
  <c r="D162" i="24"/>
  <c r="D158" i="24"/>
  <c r="E158" i="24" s="1"/>
  <c r="D127" i="24"/>
  <c r="D120" i="24"/>
  <c r="D115" i="24"/>
  <c r="D113" i="24"/>
  <c r="D109" i="24" s="1"/>
  <c r="D106" i="24"/>
  <c r="D68" i="24"/>
  <c r="D41" i="24"/>
  <c r="D40" i="24"/>
  <c r="D21" i="24"/>
  <c r="D20" i="24" s="1"/>
  <c r="D95" i="24"/>
  <c r="D102" i="24"/>
  <c r="D96" i="24"/>
  <c r="D91" i="24"/>
  <c r="D88" i="24"/>
  <c r="D76" i="24"/>
  <c r="D51" i="24"/>
  <c r="D9" i="24"/>
  <c r="C526" i="24"/>
  <c r="C508" i="24"/>
  <c r="C507" i="24" s="1"/>
  <c r="C504" i="24"/>
  <c r="D493" i="24"/>
  <c r="C487" i="24"/>
  <c r="C473" i="24"/>
  <c r="C462" i="24"/>
  <c r="C459" i="24"/>
  <c r="C455" i="24"/>
  <c r="C452" i="24"/>
  <c r="C438" i="24"/>
  <c r="D430" i="24" s="1"/>
  <c r="C432" i="24"/>
  <c r="C418" i="24"/>
  <c r="C410" i="24"/>
  <c r="C398" i="24"/>
  <c r="C395" i="24"/>
  <c r="C385" i="24"/>
  <c r="C380" i="24"/>
  <c r="C367" i="24"/>
  <c r="C361" i="24"/>
  <c r="C357" i="24"/>
  <c r="C352" i="24"/>
  <c r="C347" i="24"/>
  <c r="C342" i="24"/>
  <c r="C340" i="24"/>
  <c r="C331" i="24"/>
  <c r="C310" i="24"/>
  <c r="C306" i="24"/>
  <c r="C305" i="24"/>
  <c r="C301" i="24" s="1"/>
  <c r="C296" i="24"/>
  <c r="C293" i="24"/>
  <c r="C279" i="24"/>
  <c r="C275" i="24"/>
  <c r="C236" i="24"/>
  <c r="C231" i="24"/>
  <c r="C225" i="24"/>
  <c r="C212" i="24"/>
  <c r="C208" i="24"/>
  <c r="A204" i="24"/>
  <c r="A202" i="24"/>
  <c r="C181" i="24"/>
  <c r="C176" i="24"/>
  <c r="C170" i="24"/>
  <c r="C166" i="24"/>
  <c r="C130" i="24"/>
  <c r="C127" i="24"/>
  <c r="C120" i="24"/>
  <c r="C115" i="24"/>
  <c r="C109" i="24"/>
  <c r="C106" i="24"/>
  <c r="C104" i="24"/>
  <c r="C96" i="24"/>
  <c r="C91" i="24"/>
  <c r="C88" i="24"/>
  <c r="C55" i="24"/>
  <c r="C51" i="24"/>
  <c r="C45" i="24"/>
  <c r="C38" i="24"/>
  <c r="C20" i="24"/>
  <c r="D14" i="24"/>
  <c r="C14" i="24"/>
  <c r="C9" i="24"/>
  <c r="D130" i="24" l="1"/>
  <c r="D163" i="24" s="1"/>
  <c r="D55" i="24"/>
  <c r="D497" i="24"/>
  <c r="D38" i="24"/>
  <c r="C316" i="24"/>
  <c r="C348" i="24" s="1"/>
  <c r="C103" i="24"/>
  <c r="C163" i="24"/>
  <c r="C289" i="24"/>
  <c r="C199" i="24"/>
  <c r="C386" i="24"/>
  <c r="C424" i="24"/>
  <c r="C457" i="24" s="1"/>
  <c r="C467" i="24"/>
  <c r="C502" i="24" s="1"/>
  <c r="C529" i="24"/>
  <c r="D524" i="24"/>
  <c r="D103" i="24" l="1"/>
  <c r="F84" i="17" l="1"/>
  <c r="F120" i="17"/>
  <c r="F114" i="17" l="1"/>
  <c r="F106" i="17" s="1"/>
  <c r="F77" i="17" l="1"/>
  <c r="F63" i="17" s="1"/>
  <c r="F62" i="17" s="1"/>
  <c r="A2" i="17" l="1"/>
  <c r="F7" i="17" l="1"/>
  <c r="F130" i="17" l="1"/>
  <c r="F131" i="17" s="1"/>
  <c r="F132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1" authorId="0" shapeId="0" xr:uid="{FB64E32D-5F04-46BC-9ED2-D457E9878EE3}">
      <text>
        <r>
          <rPr>
            <b/>
            <sz val="9"/>
            <color indexed="81"/>
            <rFont val="Tahoma"/>
            <family val="2"/>
            <charset val="204"/>
          </rPr>
          <t xml:space="preserve">аб.плата+интернет+междунар перегов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95" authorId="0" shapeId="0" xr:uid="{651FCA80-D88B-43AC-A473-00DC54EF8C08}">
      <text>
        <r>
          <rPr>
            <b/>
            <sz val="9"/>
            <color indexed="81"/>
            <rFont val="Tahoma"/>
            <family val="2"/>
            <charset val="204"/>
          </rPr>
          <t>износ осн сред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58" authorId="0" shapeId="0" xr:uid="{E5F4A3EF-BE9B-40A0-8583-F83A3D8A3CC8}">
      <text>
        <r>
          <rPr>
            <sz val="9"/>
            <color indexed="81"/>
            <rFont val="Tahoma"/>
            <family val="2"/>
            <charset val="204"/>
          </rPr>
          <t xml:space="preserve">открыток, грамот, прод с логотпом
</t>
        </r>
      </text>
    </comment>
    <comment ref="B185" authorId="0" shapeId="0" xr:uid="{2E64D102-AE85-473D-972E-E69D86A4DDA1}">
      <text>
        <r>
          <rPr>
            <sz val="9"/>
            <color indexed="81"/>
            <rFont val="Tahoma"/>
            <family val="2"/>
            <charset val="204"/>
          </rPr>
          <t xml:space="preserve">+ страх работн
</t>
        </r>
      </text>
    </comment>
    <comment ref="B244" authorId="0" shapeId="0" xr:uid="{6F07F48E-C803-44BC-8B56-9C3308DD4B51}">
      <text>
        <r>
          <rPr>
            <sz val="9"/>
            <color indexed="81"/>
            <rFont val="Tahoma"/>
            <family val="2"/>
            <charset val="204"/>
          </rPr>
          <t xml:space="preserve">обследование грузоподъемных механизмов
</t>
        </r>
      </text>
    </comment>
    <comment ref="B248" authorId="0" shapeId="0" xr:uid="{BA6FCC8F-E26B-45EC-A3F2-B6924D34C19B}">
      <text>
        <r>
          <rPr>
            <sz val="9"/>
            <color indexed="81"/>
            <rFont val="Tahoma"/>
            <family val="2"/>
            <charset val="204"/>
          </rPr>
          <t xml:space="preserve">услуги госстандарта
</t>
        </r>
      </text>
    </comment>
    <comment ref="B425" authorId="0" shapeId="0" xr:uid="{A3348F00-154F-4CC4-B31B-7EC6595C6D83}">
      <text>
        <r>
          <rPr>
            <sz val="9"/>
            <color indexed="81"/>
            <rFont val="Tahoma"/>
            <family val="2"/>
            <charset val="204"/>
          </rPr>
          <t xml:space="preserve">все остальное
</t>
        </r>
      </text>
    </comment>
    <comment ref="B432" authorId="0" shapeId="0" xr:uid="{4431B7B8-8DC3-426E-AE55-5AC7A9F54EE0}">
      <text>
        <r>
          <rPr>
            <sz val="9"/>
            <color indexed="81"/>
            <rFont val="Tahoma"/>
            <family val="2"/>
            <charset val="204"/>
          </rPr>
          <t xml:space="preserve">+ тех обсл
</t>
        </r>
      </text>
    </comment>
    <comment ref="B438" authorId="0" shapeId="0" xr:uid="{D99290AC-C91B-41AA-BE9A-74B34A2CC6F5}">
      <text>
        <r>
          <rPr>
            <sz val="9"/>
            <color indexed="81"/>
            <rFont val="Tahoma"/>
            <family val="2"/>
            <charset val="204"/>
          </rPr>
          <t xml:space="preserve">вся утилиз-я
</t>
        </r>
      </text>
    </comment>
    <comment ref="B452" authorId="0" shapeId="0" xr:uid="{D49263B9-F7FF-4A29-9687-B72C7EA639AD}">
      <text>
        <r>
          <rPr>
            <sz val="9"/>
            <color indexed="81"/>
            <rFont val="Tahoma"/>
            <family val="2"/>
            <charset val="204"/>
          </rPr>
          <t xml:space="preserve">интернет+аб плата за тел
</t>
        </r>
      </text>
    </comment>
    <comment ref="B471" authorId="0" shapeId="0" xr:uid="{22CDF87C-4FB4-4E48-83A7-62161158D15A}">
      <text>
        <r>
          <rPr>
            <sz val="9"/>
            <color indexed="81"/>
            <rFont val="Tahoma"/>
            <family val="2"/>
            <charset val="204"/>
          </rPr>
          <t xml:space="preserve">все остальное
</t>
        </r>
      </text>
    </comment>
    <comment ref="B511" authorId="0" shapeId="0" xr:uid="{06047DA1-10A4-4FA4-8A5C-F1B009CECDBA}">
      <text>
        <r>
          <rPr>
            <b/>
            <sz val="9"/>
            <color indexed="81"/>
            <rFont val="Tahoma"/>
            <family val="2"/>
            <charset val="204"/>
          </rPr>
          <t>все остальн6ое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30" authorId="0" shapeId="0" xr:uid="{26F4E49C-B83B-4FE1-BE2E-3743B0F5048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износ осн ср
</t>
        </r>
      </text>
    </comment>
    <comment ref="B33" authorId="0" shapeId="0" xr:uid="{A0FBBB1E-A9DE-426E-A4BA-AEA82CF730F0}">
      <text>
        <r>
          <rPr>
            <sz val="9"/>
            <color indexed="81"/>
            <rFont val="Tahoma"/>
            <family val="2"/>
            <charset val="204"/>
          </rPr>
          <t xml:space="preserve">аб плата+интернет+междунар перег
</t>
        </r>
      </text>
    </comment>
    <comment ref="B34" authorId="0" shapeId="0" xr:uid="{0FDCBEED-0516-4B8B-AF44-A3B8D3CCEDC9}">
      <text>
        <r>
          <rPr>
            <sz val="9"/>
            <color indexed="81"/>
            <rFont val="Tahoma"/>
            <family val="2"/>
            <charset val="204"/>
          </rPr>
          <t xml:space="preserve">Нур-Сакшы
</t>
        </r>
      </text>
    </comment>
    <comment ref="B35" authorId="0" shapeId="0" xr:uid="{9DE45B86-2A61-4901-9CD3-0AC4707153E1}">
      <text>
        <r>
          <rPr>
            <sz val="9"/>
            <color indexed="81"/>
            <rFont val="Tahoma"/>
            <family val="2"/>
            <charset val="204"/>
          </rPr>
          <t xml:space="preserve">расходы по дезобработке
</t>
        </r>
      </text>
    </comment>
    <comment ref="B36" authorId="0" shapeId="0" xr:uid="{A573F0FB-0A94-4FCE-80F2-668F3AB14A54}">
      <text>
        <r>
          <rPr>
            <sz val="9"/>
            <color indexed="81"/>
            <rFont val="Tahoma"/>
            <family val="2"/>
            <charset val="204"/>
          </rPr>
          <t xml:space="preserve">вся
</t>
        </r>
      </text>
    </comment>
    <comment ref="B39" authorId="0" shapeId="0" xr:uid="{4B56C6A7-C3BB-4187-A8E9-893FA04EFC4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мед.страхование+соц.стр+страх работн.</t>
        </r>
      </text>
    </comment>
    <comment ref="F48" authorId="0" shapeId="0" xr:uid="{BE026C83-2364-4420-98C4-1D5CBC285E55}">
      <text>
        <r>
          <rPr>
            <b/>
            <sz val="9"/>
            <color indexed="81"/>
            <rFont val="Tahoma"/>
            <family val="2"/>
            <charset val="204"/>
          </rPr>
          <t xml:space="preserve">охрана объекта(сигн)+пожар сигн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4" authorId="0" shapeId="0" xr:uid="{995910E5-AB90-4954-A8CF-4C71328518D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Нами арендуется 
</t>
        </r>
      </text>
    </comment>
    <comment ref="B56" authorId="0" shapeId="0" xr:uid="{76C749BE-3744-43B1-A7DD-5145A3F4AFB7}">
      <text>
        <r>
          <rPr>
            <b/>
            <sz val="9"/>
            <color indexed="81"/>
            <rFont val="Tahoma"/>
            <family val="2"/>
            <charset val="204"/>
          </rPr>
          <t>услуги госстандарта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1" authorId="0" shapeId="0" xr:uid="{2ED13FD4-2FEA-41A9-B728-5992BA9F7E2F}">
      <text>
        <r>
          <rPr>
            <sz val="9"/>
            <color indexed="81"/>
            <rFont val="Tahoma"/>
            <family val="2"/>
            <charset val="204"/>
          </rPr>
          <t xml:space="preserve">пов лаб оборуд
</t>
        </r>
      </text>
    </comment>
    <comment ref="B65" authorId="0" shapeId="0" xr:uid="{6ADE48A5-F654-4AC4-B380-F5787915F1A1}">
      <text>
        <r>
          <rPr>
            <sz val="9"/>
            <color indexed="81"/>
            <rFont val="Tahoma"/>
            <family val="2"/>
            <charset val="204"/>
          </rPr>
          <t xml:space="preserve">технич освид +
обследование грузопод мех + экспертиза ОС
</t>
        </r>
      </text>
    </comment>
    <comment ref="B66" authorId="0" shapeId="0" xr:uid="{131024EA-009A-49E2-8693-29E5F258EDE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расх на наем жил помещ+расх на проезд+суточ в пред РК
</t>
        </r>
      </text>
    </comment>
    <comment ref="F69" authorId="0" shapeId="0" xr:uid="{83E3EB35-ADBC-4169-BE6E-84912922E9FF}">
      <text>
        <r>
          <rPr>
            <b/>
            <sz val="9"/>
            <color indexed="81"/>
            <rFont val="Tahoma"/>
            <family val="2"/>
            <charset val="204"/>
          </rPr>
          <t>землеустроит и кадастр планы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3" authorId="0" shapeId="0" xr:uid="{F4FE5547-412D-4469-A5DC-63D70322B14F}">
      <text>
        <r>
          <rPr>
            <sz val="9"/>
            <color indexed="81"/>
            <rFont val="Tahoma"/>
            <family val="2"/>
            <charset val="204"/>
          </rPr>
          <t xml:space="preserve">регистрация прав на имущество
</t>
        </r>
      </text>
    </comment>
    <comment ref="F74" authorId="0" shapeId="0" xr:uid="{15580CCA-5AD4-45DA-9BFF-A760F9017841}">
      <text>
        <r>
          <rPr>
            <b/>
            <sz val="9"/>
            <color indexed="81"/>
            <rFont val="Tahoma"/>
            <family val="2"/>
            <charset val="204"/>
          </rPr>
          <t xml:space="preserve">
опл вр нетруд+мат+пр мат+билборд+исп съемка+объявл в СМИ+устанока и монтаж сис и оборуд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92" authorId="0" shapeId="0" xr:uid="{41194978-12A5-4A28-AD17-1280E00DF54A}">
      <text>
        <r>
          <rPr>
            <sz val="9"/>
            <color indexed="81"/>
            <rFont val="Tahoma"/>
            <family val="2"/>
            <charset val="204"/>
          </rPr>
          <t xml:space="preserve">объявл в СМИ
</t>
        </r>
      </text>
    </comment>
    <comment ref="F92" authorId="0" shapeId="0" xr:uid="{A3FE7A30-87EF-42AA-971B-7E543852DB09}">
      <text>
        <r>
          <rPr>
            <b/>
            <sz val="9"/>
            <color indexed="81"/>
            <rFont val="Tahoma"/>
            <family val="2"/>
            <charset val="204"/>
          </rPr>
          <t>объявление в СМИ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00" authorId="0" shapeId="0" xr:uid="{A0F27D30-F346-4047-BB46-A606F8982E8E}">
      <text>
        <r>
          <rPr>
            <sz val="9"/>
            <color indexed="81"/>
            <rFont val="Tahoma"/>
            <family val="2"/>
            <charset val="204"/>
          </rPr>
          <t xml:space="preserve">програмное обеспечение
</t>
        </r>
      </text>
    </comment>
    <comment ref="B107" authorId="0" shapeId="0" xr:uid="{F0868CD3-72CE-42E7-80F8-B83039BC0A9B}">
      <text>
        <r>
          <rPr>
            <b/>
            <sz val="9"/>
            <color indexed="81"/>
            <rFont val="Tahoma"/>
            <family val="2"/>
            <charset val="204"/>
          </rPr>
          <t>зданий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3" authorId="0" shapeId="0" xr:uid="{73A857F8-5164-4D5E-8A90-2F7A715697BE}">
      <text>
        <r>
          <rPr>
            <b/>
            <sz val="9"/>
            <color indexed="81"/>
            <rFont val="Tahoma"/>
            <family val="2"/>
            <charset val="204"/>
          </rPr>
          <t xml:space="preserve">врем нетруд+мат+пр мат+билборд+землеустр и зем кадастр планы+пожарн сигн+провед фин и техн экспертиз+ремонт проч осн ср+усл нотариуса+
изгот копий
</t>
        </r>
      </text>
    </comment>
    <comment ref="F127" authorId="0" shapeId="0" xr:uid="{56EDA53B-EBE6-4EE9-9878-E545E5B4DEAD}">
      <text>
        <r>
          <rPr>
            <b/>
            <sz val="9"/>
            <color indexed="81"/>
            <rFont val="Tahoma"/>
            <family val="2"/>
            <charset val="204"/>
          </rPr>
          <t xml:space="preserve">медстрах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33" authorId="0" shapeId="0" xr:uid="{C54876EC-75F3-4C78-B804-A340EAF05BD6}">
      <text>
        <r>
          <rPr>
            <sz val="9"/>
            <color indexed="81"/>
            <rFont val="Tahoma"/>
            <family val="2"/>
            <charset val="204"/>
          </rPr>
          <t xml:space="preserve">услуги по содержанию зданий
</t>
        </r>
      </text>
    </comment>
    <comment ref="F136" authorId="0" shapeId="0" xr:uid="{509D9ABA-C5FB-4037-9606-EA2AC0C89348}">
      <text>
        <r>
          <rPr>
            <b/>
            <sz val="9"/>
            <color indexed="81"/>
            <rFont val="Tahoma"/>
            <family val="2"/>
            <charset val="204"/>
          </rPr>
          <t>опл вр нетр+мат+пр мат+обуч+охр объ</t>
        </r>
        <r>
          <rPr>
            <sz val="9"/>
            <color indexed="81"/>
            <rFont val="Tahoma"/>
            <family val="2"/>
            <charset val="204"/>
          </rPr>
          <t>екта(сигн)+пожар сигн+усл нотар+командировоч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38" authorId="0" shapeId="0" xr:uid="{5AEA454F-CDA5-4FE1-98FF-CFD7EE849E6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охр объекта(сигн)</t>
        </r>
      </text>
    </comment>
    <comment ref="F41" authorId="0" shapeId="0" xr:uid="{51EE6A93-2533-4243-BBE0-61D4025E624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 обслуж АСКУЭ
</t>
        </r>
      </text>
    </comment>
    <comment ref="B42" authorId="0" shapeId="0" xr:uid="{220AE94A-D694-4025-AC91-D007026AA6E7}">
      <text>
        <r>
          <rPr>
            <sz val="9"/>
            <color indexed="81"/>
            <rFont val="Tahoma"/>
            <family val="2"/>
            <charset val="204"/>
          </rPr>
          <t xml:space="preserve">усл спе техники
</t>
        </r>
      </text>
    </comment>
    <comment ref="B46" authorId="0" shapeId="0" xr:uid="{FF58CA51-4508-4B7E-A1BC-A7C08BCF17E4}">
      <text>
        <r>
          <rPr>
            <sz val="9"/>
            <color indexed="81"/>
            <rFont val="Tahoma"/>
            <family val="2"/>
            <charset val="204"/>
          </rPr>
          <t xml:space="preserve">пов лаб оборуд+пов газоанализ
</t>
        </r>
      </text>
    </comment>
    <comment ref="F46" authorId="0" shapeId="0" xr:uid="{857BDA72-4B3C-45DE-BE98-B447660FDA59}">
      <text>
        <r>
          <rPr>
            <sz val="9"/>
            <color indexed="81"/>
            <rFont val="Tahoma"/>
            <family val="2"/>
            <charset val="204"/>
          </rPr>
          <t xml:space="preserve">повер лаб оборуд
</t>
        </r>
      </text>
    </comment>
    <comment ref="B47" authorId="0" shapeId="0" xr:uid="{A11E724D-CD52-423F-87BD-31BD9204F930}">
      <text>
        <r>
          <rPr>
            <sz val="9"/>
            <color indexed="81"/>
            <rFont val="Tahoma"/>
            <family val="2"/>
            <charset val="204"/>
          </rPr>
          <t xml:space="preserve">+ технич освидетельст-е
+ </t>
        </r>
      </text>
    </comment>
    <comment ref="F49" authorId="0" shapeId="0" xr:uid="{BB027297-F6F8-4190-86A0-185FBE10FE3F}">
      <text>
        <r>
          <rPr>
            <b/>
            <sz val="9"/>
            <color indexed="81"/>
            <rFont val="Tahoma"/>
            <family val="2"/>
            <charset val="204"/>
          </rPr>
          <t>услуги по доступу к системе мониторинга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7" authorId="0" shapeId="0" xr:uid="{A2BE7B28-C690-4BBA-8012-3B011AA6562F}">
      <text>
        <r>
          <rPr>
            <sz val="9"/>
            <color indexed="81"/>
            <rFont val="Tahoma"/>
            <family val="2"/>
            <charset val="204"/>
          </rPr>
          <t xml:space="preserve">Компл экс-за по РП + 
экспертиз ОС
</t>
        </r>
      </text>
    </comment>
    <comment ref="B59" authorId="0" shapeId="0" xr:uid="{78719D6C-27A9-456C-9A2E-F700D93CD07A}">
      <text>
        <r>
          <rPr>
            <sz val="9"/>
            <color indexed="81"/>
            <rFont val="Tahoma"/>
            <family val="2"/>
            <charset val="204"/>
          </rPr>
          <t xml:space="preserve">рег прав на миущ-во
</t>
        </r>
      </text>
    </comment>
    <comment ref="F60" authorId="0" shapeId="0" xr:uid="{D958353F-F975-4746-AEE6-173ACC4F0461}">
      <text>
        <r>
          <rPr>
            <b/>
            <sz val="9"/>
            <color indexed="81"/>
            <rFont val="Tahoma"/>
            <family val="2"/>
            <charset val="204"/>
          </rPr>
          <t xml:space="preserve">пожар сигнал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62" authorId="0" shapeId="0" xr:uid="{7D032A80-6E8D-4FD6-8528-301440CF4B34}">
      <text>
        <r>
          <rPr>
            <sz val="9"/>
            <color indexed="81"/>
            <rFont val="Tahoma"/>
            <family val="2"/>
            <charset val="204"/>
          </rPr>
          <t xml:space="preserve">378 821,11
</t>
        </r>
      </text>
    </comment>
    <comment ref="D63" authorId="0" shapeId="0" xr:uid="{76C6AEBD-58FF-4570-B4F5-67E3C195AD6C}">
      <text>
        <r>
          <rPr>
            <sz val="9"/>
            <color indexed="81"/>
            <rFont val="Tahoma"/>
            <family val="2"/>
            <charset val="204"/>
          </rPr>
          <t xml:space="preserve">221 346,24
</t>
        </r>
      </text>
    </comment>
    <comment ref="D77" authorId="0" shapeId="0" xr:uid="{597E3EA3-8E4D-46E4-A92B-671DB7481E1C}">
      <text>
        <r>
          <rPr>
            <sz val="9"/>
            <color indexed="81"/>
            <rFont val="Tahoma"/>
            <family val="2"/>
            <charset val="204"/>
          </rPr>
          <t xml:space="preserve">13 892,67
</t>
        </r>
      </text>
    </comment>
    <comment ref="F98" authorId="0" shapeId="0" xr:uid="{6CD03003-CEFC-4968-A254-EF62EE35C62C}">
      <text>
        <r>
          <rPr>
            <b/>
            <sz val="9"/>
            <color indexed="81"/>
            <rFont val="Tahoma"/>
            <family val="2"/>
            <charset val="204"/>
          </rPr>
          <t xml:space="preserve">рем проч осн сред
</t>
        </r>
      </text>
    </comment>
    <comment ref="D130" authorId="0" shapeId="0" xr:uid="{2B117010-AC37-4459-9968-BA1917947D22}">
      <text>
        <r>
          <rPr>
            <sz val="9"/>
            <color indexed="81"/>
            <rFont val="Tahoma"/>
            <family val="2"/>
            <charset val="204"/>
          </rPr>
          <t xml:space="preserve">1 899 088,50
всего затрат в утв ТС
</t>
        </r>
      </text>
    </comment>
    <comment ref="D137" authorId="0" shapeId="0" xr:uid="{54691098-E572-4109-94D7-28BE05CBC4F8}">
      <text>
        <r>
          <rPr>
            <sz val="9"/>
            <color indexed="81"/>
            <rFont val="Tahoma"/>
            <family val="2"/>
            <charset val="204"/>
          </rPr>
          <t xml:space="preserve">всего доходов в утв ТС
2 011 534,3
</t>
        </r>
      </text>
    </comment>
  </commentList>
</comments>
</file>

<file path=xl/sharedStrings.xml><?xml version="1.0" encoding="utf-8"?>
<sst xmlns="http://schemas.openxmlformats.org/spreadsheetml/2006/main" count="1353" uniqueCount="569">
  <si>
    <t>1.</t>
  </si>
  <si>
    <t>электроэнергия</t>
  </si>
  <si>
    <t>теплоэнергия</t>
  </si>
  <si>
    <t>2.</t>
  </si>
  <si>
    <t>Ремонт, всего</t>
  </si>
  <si>
    <t>3.</t>
  </si>
  <si>
    <t>охрана труда и ТБ</t>
  </si>
  <si>
    <t>4.</t>
  </si>
  <si>
    <t>вывоз мусора</t>
  </si>
  <si>
    <t>5.</t>
  </si>
  <si>
    <t>6.</t>
  </si>
  <si>
    <t>канцелярские товары</t>
  </si>
  <si>
    <t>почтовые расходы</t>
  </si>
  <si>
    <t>информационные услуги</t>
  </si>
  <si>
    <t>7.</t>
  </si>
  <si>
    <t>аудиторские услуги</t>
  </si>
  <si>
    <t>услуги связи</t>
  </si>
  <si>
    <t>№ п/п</t>
  </si>
  <si>
    <t>ГСМ</t>
  </si>
  <si>
    <t>Затраты на оплату труда, всего</t>
  </si>
  <si>
    <t>заработная плата</t>
  </si>
  <si>
    <t>социальный налог</t>
  </si>
  <si>
    <t>1.1</t>
  </si>
  <si>
    <t>1.2</t>
  </si>
  <si>
    <t>Материальные затраты, всего</t>
  </si>
  <si>
    <t>сырье и материалы</t>
  </si>
  <si>
    <t>1.3</t>
  </si>
  <si>
    <t>1.4</t>
  </si>
  <si>
    <t>амортизация</t>
  </si>
  <si>
    <t>обязательные виды страхования</t>
  </si>
  <si>
    <t>платежи за эмиссию в окружающую среду</t>
  </si>
  <si>
    <t>услуги охраны</t>
  </si>
  <si>
    <t>5.1</t>
  </si>
  <si>
    <t>5.2</t>
  </si>
  <si>
    <t>5.3</t>
  </si>
  <si>
    <t>5.4</t>
  </si>
  <si>
    <t>5.5</t>
  </si>
  <si>
    <t>5.6</t>
  </si>
  <si>
    <t>5.7</t>
  </si>
  <si>
    <t>5.8</t>
  </si>
  <si>
    <t>оплата труда адм. персонала</t>
  </si>
  <si>
    <t>6.1</t>
  </si>
  <si>
    <t>6.2</t>
  </si>
  <si>
    <t>6.3</t>
  </si>
  <si>
    <t>6.4</t>
  </si>
  <si>
    <t>6.5</t>
  </si>
  <si>
    <t>услуги банка</t>
  </si>
  <si>
    <t>7.1</t>
  </si>
  <si>
    <t>7.2</t>
  </si>
  <si>
    <t>7.3</t>
  </si>
  <si>
    <t>7.4</t>
  </si>
  <si>
    <t>7.5</t>
  </si>
  <si>
    <t>аренда приемных пунктов</t>
  </si>
  <si>
    <t>прочие расходы</t>
  </si>
  <si>
    <t>Всего доходов</t>
  </si>
  <si>
    <t>Расходы периода, всего</t>
  </si>
  <si>
    <t xml:space="preserve">наименование показателей </t>
  </si>
  <si>
    <t>ед. изм.</t>
  </si>
  <si>
    <t>I</t>
  </si>
  <si>
    <t>т.тенге</t>
  </si>
  <si>
    <t>вода покупная</t>
  </si>
  <si>
    <t>2.1</t>
  </si>
  <si>
    <t>2.2</t>
  </si>
  <si>
    <t>Амортизация</t>
  </si>
  <si>
    <t xml:space="preserve">Прочие затраты, всего </t>
  </si>
  <si>
    <t xml:space="preserve">услуги связи </t>
  </si>
  <si>
    <t>охрана труда и техника безопасности</t>
  </si>
  <si>
    <t>II</t>
  </si>
  <si>
    <t>налоговые платежи</t>
  </si>
  <si>
    <t>коммунальные услуги</t>
  </si>
  <si>
    <t xml:space="preserve">социальный налог </t>
  </si>
  <si>
    <t>III</t>
  </si>
  <si>
    <t>IV</t>
  </si>
  <si>
    <t>V</t>
  </si>
  <si>
    <t>VI</t>
  </si>
  <si>
    <t>VII</t>
  </si>
  <si>
    <t>VIII</t>
  </si>
  <si>
    <t>тыс.м3</t>
  </si>
  <si>
    <t>IX</t>
  </si>
  <si>
    <t>%</t>
  </si>
  <si>
    <t>Тариф (без НДС)</t>
  </si>
  <si>
    <t>тенге/м3</t>
  </si>
  <si>
    <t>топливо</t>
  </si>
  <si>
    <t>периодическая печать</t>
  </si>
  <si>
    <t>заработная плата произв. персонала</t>
  </si>
  <si>
    <t>2.3</t>
  </si>
  <si>
    <t>2.4</t>
  </si>
  <si>
    <t>6.6</t>
  </si>
  <si>
    <t>обслуживание сигнализации</t>
  </si>
  <si>
    <t>расходы на сод. и обсл. ВТ</t>
  </si>
  <si>
    <t>командировочные расходы</t>
  </si>
  <si>
    <t>6.6.1</t>
  </si>
  <si>
    <t>6.6.2</t>
  </si>
  <si>
    <t>6.6.3</t>
  </si>
  <si>
    <t>6.6.4</t>
  </si>
  <si>
    <t>6.6.5</t>
  </si>
  <si>
    <t>6.6.6</t>
  </si>
  <si>
    <t>6.6.7</t>
  </si>
  <si>
    <t>канцелярские расходы</t>
  </si>
  <si>
    <t>тенге</t>
  </si>
  <si>
    <t>среднемесячная зарплата</t>
  </si>
  <si>
    <t>чел.</t>
  </si>
  <si>
    <t>численность произв. персонала</t>
  </si>
  <si>
    <t>заработная плата всп. персонала</t>
  </si>
  <si>
    <t>налог на ДПИ</t>
  </si>
  <si>
    <t>5.9</t>
  </si>
  <si>
    <t>расходы на сод. техсредств ВТ</t>
  </si>
  <si>
    <t>ликвидационный фонд</t>
  </si>
  <si>
    <t>услуги автотран. и механизмов</t>
  </si>
  <si>
    <t>численность адм. персонала</t>
  </si>
  <si>
    <t>программное сопровождение</t>
  </si>
  <si>
    <t>численность персонала</t>
  </si>
  <si>
    <t xml:space="preserve">расходы на сод. и обсл. ВТ  </t>
  </si>
  <si>
    <t>численность вспом. персонала</t>
  </si>
  <si>
    <t>1.5</t>
  </si>
  <si>
    <t>2.5</t>
  </si>
  <si>
    <t>обяз. професс. пенсионные взносы</t>
  </si>
  <si>
    <t>X</t>
  </si>
  <si>
    <t>XI</t>
  </si>
  <si>
    <t>обяз. проф. пенсионные взносы</t>
  </si>
  <si>
    <t>обучение</t>
  </si>
  <si>
    <t>техническое обслуживание</t>
  </si>
  <si>
    <t>оплата врем. нетрудоспособности</t>
  </si>
  <si>
    <t>оценка имущества</t>
  </si>
  <si>
    <t>промывка отопительной системы</t>
  </si>
  <si>
    <t>услуги госстандарта</t>
  </si>
  <si>
    <t>шиномонтажные работы</t>
  </si>
  <si>
    <t>составление актов дефектовки</t>
  </si>
  <si>
    <t>Объем оказываемых услуг</t>
  </si>
  <si>
    <t xml:space="preserve"> - страхование ГПО владельцев транспортных средств</t>
  </si>
  <si>
    <t xml:space="preserve"> - страхование работника от несчастного случая при исполнении им трудовых обязаннностей</t>
  </si>
  <si>
    <t xml:space="preserve"> - страхование ГПО владельцев объектов, деятельность которых связана с опасностью причинения вреда третьим лицам</t>
  </si>
  <si>
    <t xml:space="preserve"> - социальное медицинское страхование</t>
  </si>
  <si>
    <t>8.</t>
  </si>
  <si>
    <t>Выплата основного долга по кредиту ЕБРР</t>
  </si>
  <si>
    <t>1.6</t>
  </si>
  <si>
    <t>2.6</t>
  </si>
  <si>
    <t>плата за пользование природными ресурсами</t>
  </si>
  <si>
    <t>обслуживание охранной и пожарной сигнализации</t>
  </si>
  <si>
    <t>расходы на содержание техсредств (ВТ)</t>
  </si>
  <si>
    <t>утилизация отработанных шин, промасленной ветоши, отработанных фильтров и древесных опилок</t>
  </si>
  <si>
    <t>услуги в области инжиниринга проектные</t>
  </si>
  <si>
    <t>энергоаудит</t>
  </si>
  <si>
    <t>испытание электрооборудования и заземленных устройств</t>
  </si>
  <si>
    <t>технический осмотр автотранспортных средств</t>
  </si>
  <si>
    <t>другие затраты</t>
  </si>
  <si>
    <t>поверка счетчиков электроэнергии и транформаторов тока</t>
  </si>
  <si>
    <t>промывка и опрессовка системы отопления</t>
  </si>
  <si>
    <t>демонтаж, поверка и монтаж приборов учета</t>
  </si>
  <si>
    <t>снятие архивных данных с теплосчетчика</t>
  </si>
  <si>
    <t>содержание сайта предприятия</t>
  </si>
  <si>
    <t>составление актов дефектовки основных средств</t>
  </si>
  <si>
    <t>утилизация вычислительной техники</t>
  </si>
  <si>
    <t>инкассация</t>
  </si>
  <si>
    <t xml:space="preserve">расходы на содержание и обслуживание ВТ  </t>
  </si>
  <si>
    <t>проведение анализов питьевой воды</t>
  </si>
  <si>
    <t>ремонт основных средств</t>
  </si>
  <si>
    <t>оплата временной нетрудоспособности</t>
  </si>
  <si>
    <t>прочие</t>
  </si>
  <si>
    <t>доступ к системе мониторинга</t>
  </si>
  <si>
    <t>ремонт ОС</t>
  </si>
  <si>
    <t>оформление землеустроительных актов</t>
  </si>
  <si>
    <t>содержание и техническое обслуживание</t>
  </si>
  <si>
    <t xml:space="preserve">экспертиза </t>
  </si>
  <si>
    <t xml:space="preserve"> - экологическое страхование</t>
  </si>
  <si>
    <t>5.9.1</t>
  </si>
  <si>
    <t>5.9.2</t>
  </si>
  <si>
    <t>5.9.3</t>
  </si>
  <si>
    <t>5.9.4</t>
  </si>
  <si>
    <t>5.9.5</t>
  </si>
  <si>
    <t>5.9.6</t>
  </si>
  <si>
    <t>5.9.7</t>
  </si>
  <si>
    <t>5.9.8</t>
  </si>
  <si>
    <t>5.9.9</t>
  </si>
  <si>
    <t>5.9.10</t>
  </si>
  <si>
    <t>5.9.11</t>
  </si>
  <si>
    <t>5.9.12</t>
  </si>
  <si>
    <t>5.9.13</t>
  </si>
  <si>
    <t>5.9.14</t>
  </si>
  <si>
    <t>5.9.15</t>
  </si>
  <si>
    <t>5.9.16</t>
  </si>
  <si>
    <t>5.9.17</t>
  </si>
  <si>
    <t>5.9.18</t>
  </si>
  <si>
    <t>5.9.19</t>
  </si>
  <si>
    <t>5.9.20</t>
  </si>
  <si>
    <t>5.9.21</t>
  </si>
  <si>
    <t>5.9.22</t>
  </si>
  <si>
    <t>5.9.23</t>
  </si>
  <si>
    <t>5.9.24</t>
  </si>
  <si>
    <t>5.9.25</t>
  </si>
  <si>
    <t>5.9.26</t>
  </si>
  <si>
    <t>5.9.27</t>
  </si>
  <si>
    <t>5.7.1</t>
  </si>
  <si>
    <t>5.7.2</t>
  </si>
  <si>
    <t>5.7.3</t>
  </si>
  <si>
    <t>5.7.4</t>
  </si>
  <si>
    <t>5.7.5</t>
  </si>
  <si>
    <t>5.7.6</t>
  </si>
  <si>
    <t>5.7.7</t>
  </si>
  <si>
    <t>5.7.8</t>
  </si>
  <si>
    <t>5.7.10</t>
  </si>
  <si>
    <t>5.7.11</t>
  </si>
  <si>
    <t>5.7.12</t>
  </si>
  <si>
    <t>5.7.13</t>
  </si>
  <si>
    <t>5.7.14</t>
  </si>
  <si>
    <t>5.7.15</t>
  </si>
  <si>
    <t>5.7.16</t>
  </si>
  <si>
    <t>5.7.17</t>
  </si>
  <si>
    <t>5.7.18</t>
  </si>
  <si>
    <t>5.7.19</t>
  </si>
  <si>
    <t>5.7.20</t>
  </si>
  <si>
    <t>5.7.21</t>
  </si>
  <si>
    <t>5.7.22</t>
  </si>
  <si>
    <t>5.7.23</t>
  </si>
  <si>
    <t>5.7.24</t>
  </si>
  <si>
    <t>Выплата основного долга по бюджетному кредиту "Нурлы Жол"</t>
  </si>
  <si>
    <t xml:space="preserve"> - по кредиту ЕБРР</t>
  </si>
  <si>
    <t xml:space="preserve"> - по бюджетному кредиту "Нурлы Жол"</t>
  </si>
  <si>
    <t>Расходы на выплату вознаграждений</t>
  </si>
  <si>
    <t>Всего затрат на предоставление услуг</t>
  </si>
  <si>
    <t>Доход (прибыль)</t>
  </si>
  <si>
    <t>Регулируемая база задействованных активов (РБА)</t>
  </si>
  <si>
    <t>Нормативные технические потери</t>
  </si>
  <si>
    <t xml:space="preserve"> - земельный налог</t>
  </si>
  <si>
    <t xml:space="preserve"> - имущественный налог</t>
  </si>
  <si>
    <t xml:space="preserve"> - транспортный налог</t>
  </si>
  <si>
    <t xml:space="preserve"> - плата за пользование РЧС</t>
  </si>
  <si>
    <t>наименование показателей</t>
  </si>
  <si>
    <t>поверка средств измерений (манометры)</t>
  </si>
  <si>
    <t>ГКП "Костанай-Су" акимата города Костаная</t>
  </si>
  <si>
    <t xml:space="preserve"> ГКП "Костанай-Су" акимата города Костаная</t>
  </si>
  <si>
    <t xml:space="preserve">  - прибыль на реализацию инвестпрограммы</t>
  </si>
  <si>
    <t xml:space="preserve">  - переменная часть прибыли, с учетом критериев </t>
  </si>
  <si>
    <t>испытание э/оборудования и заземленных устройств</t>
  </si>
  <si>
    <t>экспертиза промбезопасности технических устройств</t>
  </si>
  <si>
    <t>поверка счетчиков э/энергии и транформаторов тока</t>
  </si>
  <si>
    <t>выполнение, %</t>
  </si>
  <si>
    <t>социальное медицинское страхование</t>
  </si>
  <si>
    <t xml:space="preserve">Информация об исполнении утвержденной тарифной сметы </t>
  </si>
  <si>
    <t xml:space="preserve">причины отклонения </t>
  </si>
  <si>
    <t>Приложение 5 к Правилам осуществления деятельности субъектами естественных монополий Форма 2</t>
  </si>
  <si>
    <t>Расшифровка статей затрат</t>
  </si>
  <si>
    <t>на услуги по подаче воды по магистральным трубопроводам и распределительным сетям (вода питьевая)</t>
  </si>
  <si>
    <t xml:space="preserve">ГКП "Костанай-Су" акимата города Костаная </t>
  </si>
  <si>
    <t>Основные затраты</t>
  </si>
  <si>
    <t>Сырье</t>
  </si>
  <si>
    <t>химреактивы</t>
  </si>
  <si>
    <t>хлор жидкий</t>
  </si>
  <si>
    <t>сернокислый алюминий</t>
  </si>
  <si>
    <t>соль пищевая</t>
  </si>
  <si>
    <t>гипохлорид</t>
  </si>
  <si>
    <t>Ремонт всего</t>
  </si>
  <si>
    <t>восстановление асфальто-бетонного покрытия (к сетям)</t>
  </si>
  <si>
    <t>ремонт зданий</t>
  </si>
  <si>
    <t>ремонт зданий (задвижки)</t>
  </si>
  <si>
    <t>ремонт зданий (насосы)</t>
  </si>
  <si>
    <t>ремонт зданий (оборудование)</t>
  </si>
  <si>
    <t>ремонт насосов</t>
  </si>
  <si>
    <t>ремонт прочих основных средств</t>
  </si>
  <si>
    <t>ремонт рабочих машин и оборудования</t>
  </si>
  <si>
    <t>ремонт сетей</t>
  </si>
  <si>
    <t>ремонт сетей (водоразборные колонки)</t>
  </si>
  <si>
    <t>ремонт сетей (пожарные гидранты)</t>
  </si>
  <si>
    <t>ремонт сетей (задвижки)</t>
  </si>
  <si>
    <t>ремонт сетей (колодцы)</t>
  </si>
  <si>
    <t>ремонт сооружений</t>
  </si>
  <si>
    <t>ремонт транспортных средств</t>
  </si>
  <si>
    <t>Охрана труда и ТБ</t>
  </si>
  <si>
    <t>зарядка огнетушителя</t>
  </si>
  <si>
    <t>медосмотр</t>
  </si>
  <si>
    <t>поверка газоанализатора</t>
  </si>
  <si>
    <t>Страхование</t>
  </si>
  <si>
    <t>медицинское страхование</t>
  </si>
  <si>
    <t>страхование работников</t>
  </si>
  <si>
    <t>обязательное экологическое страхование</t>
  </si>
  <si>
    <t>Другие затраты</t>
  </si>
  <si>
    <t>пожарная сигнализация</t>
  </si>
  <si>
    <t>экспертиза ОС</t>
  </si>
  <si>
    <t>запасные части</t>
  </si>
  <si>
    <t>материалы</t>
  </si>
  <si>
    <t>прочие материалы</t>
  </si>
  <si>
    <t xml:space="preserve">поверка лабораторного оборудования </t>
  </si>
  <si>
    <t>регистрация прав на имущество</t>
  </si>
  <si>
    <t xml:space="preserve">услуги госстандарта </t>
  </si>
  <si>
    <t>экспертиза</t>
  </si>
  <si>
    <t>Расходы периода: всего</t>
  </si>
  <si>
    <t>Коммунальные затраты: всего</t>
  </si>
  <si>
    <t>тепловая энергия</t>
  </si>
  <si>
    <t>Услуги связи</t>
  </si>
  <si>
    <t>абонентская плата</t>
  </si>
  <si>
    <t>интернет</t>
  </si>
  <si>
    <t>междугородние и международные переговоры</t>
  </si>
  <si>
    <t>соединения с сотовыми сетями</t>
  </si>
  <si>
    <t>Командировочные:  всего</t>
  </si>
  <si>
    <t>расходы на проезд</t>
  </si>
  <si>
    <t>расходы на наем жилого помещения</t>
  </si>
  <si>
    <t>суточные в пределах РК</t>
  </si>
  <si>
    <t>суточные за пределами РК</t>
  </si>
  <si>
    <t>Налоговые платежи: всего</t>
  </si>
  <si>
    <t>земельный налог</t>
  </si>
  <si>
    <t>имущественный налог</t>
  </si>
  <si>
    <t>плата за использование РЧС</t>
  </si>
  <si>
    <t>транспортный налог</t>
  </si>
  <si>
    <t>Информационные услуги: всего</t>
  </si>
  <si>
    <t>объявления в СМИ</t>
  </si>
  <si>
    <t>Информационные услуги</t>
  </si>
  <si>
    <t>услуги метеорологической информации</t>
  </si>
  <si>
    <t>Прочие расходы: всего</t>
  </si>
  <si>
    <t>изготовление открыток, грамот, продукции с логотипом</t>
  </si>
  <si>
    <t>установка и монтаж систем и оборудований</t>
  </si>
  <si>
    <t>Коммунальные услуги: всего</t>
  </si>
  <si>
    <t>возмещение стоимости коммунальных услуг</t>
  </si>
  <si>
    <t>услуги по содержанию прилегающей терриитории</t>
  </si>
  <si>
    <t>на услуги по отводу и очистке сточных вод</t>
  </si>
  <si>
    <t>Энергия всего</t>
  </si>
  <si>
    <t>ремонт прочих  основных средств</t>
  </si>
  <si>
    <t>санитарно-гигиеническое обучение</t>
  </si>
  <si>
    <t>испытание трансформаторного масла</t>
  </si>
  <si>
    <t xml:space="preserve">лабораторные исследования  </t>
  </si>
  <si>
    <t>проведение финансовой и технической экспертизы</t>
  </si>
  <si>
    <t>экспертиза объекта</t>
  </si>
  <si>
    <t>аренда оборудования</t>
  </si>
  <si>
    <t>Услуги связи: всего</t>
  </si>
  <si>
    <t>междугородние переговоры</t>
  </si>
  <si>
    <t>Другие расходы: всего</t>
  </si>
  <si>
    <t>техническое обслуживание ВТ</t>
  </si>
  <si>
    <t>страхование 3-их лиц опасные объекты(страх.обязат.влад опас.объект)</t>
  </si>
  <si>
    <t>страхование автотранспорта (страх.ГПО автовл.)</t>
  </si>
  <si>
    <t>дезинфекция, дератизация (расходы по дезообработке)</t>
  </si>
  <si>
    <t>сырье и материалы (хим.реактивы)</t>
  </si>
  <si>
    <t>доступ к системе мониторинга автотранспорта (услуга по доступу..)</t>
  </si>
  <si>
    <t>аттестация лаборатории т др.разрешит.документы</t>
  </si>
  <si>
    <t>затраты по регистрации объектов</t>
  </si>
  <si>
    <t>непредвиденные</t>
  </si>
  <si>
    <t>социальный налог и соц.отчисления</t>
  </si>
  <si>
    <t>обслуживание ККМи WEB-касс</t>
  </si>
  <si>
    <t>материал для опломбирования, в том числе плоибы и прочий материал</t>
  </si>
  <si>
    <t>Услуги по снятию показаний ИПУ у абонентов</t>
  </si>
  <si>
    <t>Публикация отчетов инвест в СМИ (изм Правила и закон СЕМ)</t>
  </si>
  <si>
    <t>Регулируемая база задействованных активов</t>
  </si>
  <si>
    <t>население</t>
  </si>
  <si>
    <t>прочие потребители</t>
  </si>
  <si>
    <t>бюджетные организации</t>
  </si>
  <si>
    <t>Предприятия,занимающиеся производством тепловой энергии,в пределах объемов потребления воды на собственные нужды в процессе производства тепловой энергии и объемов подпитки при оказании услуг горячего водоснабжения</t>
  </si>
  <si>
    <t>6.7</t>
  </si>
  <si>
    <t>6.8</t>
  </si>
  <si>
    <t>7.6</t>
  </si>
  <si>
    <t>7.7</t>
  </si>
  <si>
    <t>7.8</t>
  </si>
  <si>
    <t>7.9</t>
  </si>
  <si>
    <t>7.10</t>
  </si>
  <si>
    <t>7.13</t>
  </si>
  <si>
    <t>- возмещение неучт.суммы по процентам ЕБРР за 7 месяцев</t>
  </si>
  <si>
    <t>Предприятия,занимающиеся производством тепловой энергии в пределах объемов потребления воды на собственные нужды в процессе производства тепловой энергии и объемов подпитки при оказании услуг горячего водоснабжения</t>
  </si>
  <si>
    <t>объем</t>
  </si>
  <si>
    <t>цена</t>
  </si>
  <si>
    <t>2.7</t>
  </si>
  <si>
    <t>2.8</t>
  </si>
  <si>
    <t>2.9</t>
  </si>
  <si>
    <t>2.10</t>
  </si>
  <si>
    <t>обслуживание охранной и пожарной сигнализации,видеонаблюдение</t>
  </si>
  <si>
    <t>оценка и оформление имущества</t>
  </si>
  <si>
    <t>7.7.1</t>
  </si>
  <si>
    <t>7.7.2</t>
  </si>
  <si>
    <t>7.7.3</t>
  </si>
  <si>
    <t>7.7.4</t>
  </si>
  <si>
    <t>7.7.5</t>
  </si>
  <si>
    <t>7.7.6</t>
  </si>
  <si>
    <t>7.7.7</t>
  </si>
  <si>
    <t>7.7.8</t>
  </si>
  <si>
    <t>cоциальное медицинское страхование</t>
  </si>
  <si>
    <t>обслуживание ККМ b WEB-касс</t>
  </si>
  <si>
    <t>услуги по снятию показаний ИПУ у абонентов</t>
  </si>
  <si>
    <t>7.7.10</t>
  </si>
  <si>
    <t>7.7.11</t>
  </si>
  <si>
    <t xml:space="preserve">объем </t>
  </si>
  <si>
    <t>анализ питьевой воды</t>
  </si>
  <si>
    <t>Заработная плата</t>
  </si>
  <si>
    <t>Интернет</t>
  </si>
  <si>
    <t>Химреактивы</t>
  </si>
  <si>
    <t>вода</t>
  </si>
  <si>
    <t>канц товары</t>
  </si>
  <si>
    <t>расходы на найм жилого помещения</t>
  </si>
  <si>
    <t>суточные в пределах Казахстана</t>
  </si>
  <si>
    <t>периодическое издание</t>
  </si>
  <si>
    <t>износ осн средств</t>
  </si>
  <si>
    <t>расходы на  содержание и обслуживание ВТ</t>
  </si>
  <si>
    <t>материал для опломбирования</t>
  </si>
  <si>
    <t>износ основных средств</t>
  </si>
  <si>
    <t>платежи за эмиссии в окружающую среду</t>
  </si>
  <si>
    <t>Связь</t>
  </si>
  <si>
    <t>ВСЕГО расходы</t>
  </si>
  <si>
    <t>професс.пенс.взносы</t>
  </si>
  <si>
    <t>Износ осн средств</t>
  </si>
  <si>
    <t>программное обеспечение (прогр.сопровождение)</t>
  </si>
  <si>
    <t>Мед.страхование</t>
  </si>
  <si>
    <t>Административно - управленческие расходы- всего:</t>
  </si>
  <si>
    <t>5.7.9</t>
  </si>
  <si>
    <t>7.7.9</t>
  </si>
  <si>
    <t>7.7.12</t>
  </si>
  <si>
    <t>7.11</t>
  </si>
  <si>
    <t>7.12</t>
  </si>
  <si>
    <t>5.9.28</t>
  </si>
  <si>
    <t>испытание электрооборудования</t>
  </si>
  <si>
    <t>охрана объекта (сигнализация)</t>
  </si>
  <si>
    <t>расходы по дезобработке</t>
  </si>
  <si>
    <t xml:space="preserve">техническое обслуживание </t>
  </si>
  <si>
    <t>услуга по доступу к системе мониторинга и аналит сопрровожд.автотр-та</t>
  </si>
  <si>
    <t>Обучение</t>
  </si>
  <si>
    <t>снятие архивных данных с теплосчетчиков</t>
  </si>
  <si>
    <t>услуги нотариуса</t>
  </si>
  <si>
    <t>охрана объекта ( сигнализация)</t>
  </si>
  <si>
    <t>аттестация рабочих мест</t>
  </si>
  <si>
    <t>расходы по дез.обработке</t>
  </si>
  <si>
    <t>услуги по доступу к системе мониторинга и аналитическому сопровождению автотранспорта</t>
  </si>
  <si>
    <t>Административно - управленческие затраты ( счет 7212)</t>
  </si>
  <si>
    <t xml:space="preserve">ремонт зданий </t>
  </si>
  <si>
    <t>снятие архивных данных</t>
  </si>
  <si>
    <t>Обязательные виды страхования ( страхование работников)</t>
  </si>
  <si>
    <t>охрана объекта</t>
  </si>
  <si>
    <t xml:space="preserve">пожарная сигнализация </t>
  </si>
  <si>
    <t>аттестация ответственного лица (рабочих мест)</t>
  </si>
  <si>
    <t>техническая поддержка веб-сайта</t>
  </si>
  <si>
    <t>бестраншейная прокладка трубопровода</t>
  </si>
  <si>
    <t>землеустроительные и земельно-кадастровые планы</t>
  </si>
  <si>
    <t>ремонт основных средств (зданий)</t>
  </si>
  <si>
    <t>Соц.налог и соц.страх.</t>
  </si>
  <si>
    <t xml:space="preserve">Абонентская плата за телефон </t>
  </si>
  <si>
    <t>проведение финансовой и тех.экспертизы</t>
  </si>
  <si>
    <t>Обязат професс.пенс.взносы (Айгерим)</t>
  </si>
  <si>
    <t>Заработная плата (Айгерим)</t>
  </si>
  <si>
    <t>Соц.налог и соц.страх.(Айгерим)</t>
  </si>
  <si>
    <t>Расходы на содержание службы сбыта (7110)</t>
  </si>
  <si>
    <t>Общие и административные расходы, всего (7212)</t>
  </si>
  <si>
    <t>Расходы по реализации, всего (7110)</t>
  </si>
  <si>
    <t>Административно - управленческие расходы (7212)</t>
  </si>
  <si>
    <t>Затраты на оплату труда, всего Айгерим</t>
  </si>
  <si>
    <t>Страхование:</t>
  </si>
  <si>
    <t>мед.страхование</t>
  </si>
  <si>
    <t xml:space="preserve">Страхование работников </t>
  </si>
  <si>
    <t>Расходы на сл. сбыта, всего (7110)</t>
  </si>
  <si>
    <t>данные распределяет  Айгерим</t>
  </si>
  <si>
    <t>из  отчета реализации АО</t>
  </si>
  <si>
    <t>Затраты на предоставление услуг, всего (8111)</t>
  </si>
  <si>
    <t>Командировочные</t>
  </si>
  <si>
    <t xml:space="preserve">услуги автотранспорта и механизмов </t>
  </si>
  <si>
    <t>из отчета реализации</t>
  </si>
  <si>
    <t>изготовление билборда</t>
  </si>
  <si>
    <t>Утилизация (акумуляторов +шин и др.)</t>
  </si>
  <si>
    <t>землеустроительные и земельнокадастр.планы</t>
  </si>
  <si>
    <t>изготовление копий, платеж док</t>
  </si>
  <si>
    <t>международные переговоры</t>
  </si>
  <si>
    <t>землеустроительные и земельнокадастр планы</t>
  </si>
  <si>
    <t xml:space="preserve">Утилизация </t>
  </si>
  <si>
    <t>плата за эмиссии в окруж среду</t>
  </si>
  <si>
    <t xml:space="preserve">плата за пользование водными ресурсами </t>
  </si>
  <si>
    <t xml:space="preserve">содержание и техническое обслуживание </t>
  </si>
  <si>
    <t xml:space="preserve">непредвиденные </t>
  </si>
  <si>
    <t>установка и монтаж систем и оборудования</t>
  </si>
  <si>
    <t>аттестация ответственного лица</t>
  </si>
  <si>
    <t>страхование автотранспорта</t>
  </si>
  <si>
    <t>страхование 3-их лиц</t>
  </si>
  <si>
    <t>медицинское страховнаие</t>
  </si>
  <si>
    <t>землеустроительные планы</t>
  </si>
  <si>
    <t>поверка счетчиков, трансформаторов, манометров электр-х</t>
  </si>
  <si>
    <t xml:space="preserve">промывка отопительной системы </t>
  </si>
  <si>
    <t>утилизация аккумуляторов, ртутьсодержащих ламп</t>
  </si>
  <si>
    <t>услуги в области инжиниринга</t>
  </si>
  <si>
    <t>испытания электрооборудования</t>
  </si>
  <si>
    <t>гос. пошлина</t>
  </si>
  <si>
    <t>объявление в СМИ</t>
  </si>
  <si>
    <t>периодические издания</t>
  </si>
  <si>
    <t>платная справка</t>
  </si>
  <si>
    <t>ремонт зданий, прочих основных средств</t>
  </si>
  <si>
    <t>социальное страхование</t>
  </si>
  <si>
    <t>лабораторные исследования</t>
  </si>
  <si>
    <t>социальное страховнаие</t>
  </si>
  <si>
    <t>на услуги по подаче воды (техвода) по магистральным трубопроводам и распределительным сетям (вода техническая)</t>
  </si>
  <si>
    <t>Энергия всего (8112)</t>
  </si>
  <si>
    <t>ГСМ (8111)</t>
  </si>
  <si>
    <t>прочие материалы+ материалы</t>
  </si>
  <si>
    <t>Энергия всего (8114)</t>
  </si>
  <si>
    <t>н</t>
  </si>
  <si>
    <t>Затраты на предоставление услуг, всего (8112)</t>
  </si>
  <si>
    <t>обяз проф.пенс взносы</t>
  </si>
  <si>
    <t>содержание и техническое обслуживание+ то</t>
  </si>
  <si>
    <t>соц.налог+ соц страх</t>
  </si>
  <si>
    <t>изготовление  копий, платежн док-в, + билборда, + открыток</t>
  </si>
  <si>
    <r>
      <t xml:space="preserve">оплата </t>
    </r>
    <r>
      <rPr>
        <b/>
        <i/>
        <sz val="9"/>
        <color theme="1"/>
        <rFont val="Calibri"/>
        <family val="2"/>
        <charset val="204"/>
        <scheme val="minor"/>
      </rPr>
      <t>услуг банка</t>
    </r>
  </si>
  <si>
    <t>заработная плата производственного персонала</t>
  </si>
  <si>
    <t xml:space="preserve"> к отчету об исполнении тарифной сметы за июнь 2023 года</t>
  </si>
  <si>
    <t>изготовление трафарета, печатей бланков</t>
  </si>
  <si>
    <t>изготовление билборда, баннера, табличка ПГ,плакат</t>
  </si>
  <si>
    <r>
      <t xml:space="preserve">оплата </t>
    </r>
    <r>
      <rPr>
        <b/>
        <sz val="9"/>
        <color theme="1"/>
        <rFont val="Calibri"/>
        <family val="2"/>
        <charset val="204"/>
        <scheme val="minor"/>
      </rPr>
      <t>услуг банка</t>
    </r>
  </si>
  <si>
    <t>Канцелярские товары</t>
  </si>
  <si>
    <t xml:space="preserve">заработная плата </t>
  </si>
  <si>
    <t>госпошлина</t>
  </si>
  <si>
    <t>транспортный налог + госпошлина</t>
  </si>
  <si>
    <t>плата за пользование вод ресурсами</t>
  </si>
  <si>
    <t>плата за эмиссии</t>
  </si>
  <si>
    <t>ремонт прочих основных средств( ремонт соотружений)</t>
  </si>
  <si>
    <t>Вода</t>
  </si>
  <si>
    <t>Вывоз мусора</t>
  </si>
  <si>
    <t>Услуга по доступу к системе мониторинга</t>
  </si>
  <si>
    <t>Установка и монтаж систем и оборуд</t>
  </si>
  <si>
    <t>услуги связи/ междугородные переговоры</t>
  </si>
  <si>
    <t>медицинское страхование,</t>
  </si>
  <si>
    <t xml:space="preserve">страхование работников </t>
  </si>
  <si>
    <t xml:space="preserve">составление актов дефектовки </t>
  </si>
  <si>
    <t xml:space="preserve">Услуги связи </t>
  </si>
  <si>
    <t>страхование</t>
  </si>
  <si>
    <t xml:space="preserve">техничесское обслуживание </t>
  </si>
  <si>
    <t xml:space="preserve">услуги нотариуса </t>
  </si>
  <si>
    <t>п</t>
  </si>
  <si>
    <t>факт за 8 мес</t>
  </si>
  <si>
    <t>аб плата</t>
  </si>
  <si>
    <t>междугород переговоры</t>
  </si>
  <si>
    <t xml:space="preserve">утил-я </t>
  </si>
  <si>
    <t>утилиз-я акумуляторов</t>
  </si>
  <si>
    <t>утилиз-я шинг</t>
  </si>
  <si>
    <t>тех обслуж-е</t>
  </si>
  <si>
    <t>обследов-е грузоподъемных иех-в</t>
  </si>
  <si>
    <t>програмное обнспечение</t>
  </si>
  <si>
    <t>Факт за 8 мес.</t>
  </si>
  <si>
    <t>услуги анализа (услуги госстандарта)</t>
  </si>
  <si>
    <t>программное сопровождение+ програм обеспечение</t>
  </si>
  <si>
    <t>техническое осведельствование+ обследование грузоподъемных механизмов</t>
  </si>
  <si>
    <t xml:space="preserve">техосмотр </t>
  </si>
  <si>
    <t>охрана объекта (Нур-Сакшы)</t>
  </si>
  <si>
    <t xml:space="preserve">дезинфекция, дератизация </t>
  </si>
  <si>
    <t xml:space="preserve">аудиторские услуги </t>
  </si>
  <si>
    <t xml:space="preserve">локальный мониторинг </t>
  </si>
  <si>
    <t xml:space="preserve">непредвиденные (прочие) </t>
  </si>
  <si>
    <t>факт с 1 сенятбря 2022 года по 31 августа 2023 года</t>
  </si>
  <si>
    <t xml:space="preserve"> к отчету об исполнении тарифной сметы с 1 сентября 2022 года по 31 августа 2023 года</t>
  </si>
  <si>
    <t>техническое освидетельствование (+технический осмотр)</t>
  </si>
  <si>
    <t>исполнительная съемка обекта + изгот тех паспортов</t>
  </si>
  <si>
    <t>зарядка огнетушителя + испытание пожарных лестниц</t>
  </si>
  <si>
    <t xml:space="preserve">обучение+ обеспеч пожар и пром безопасности </t>
  </si>
  <si>
    <t>поверка лабораторного оборудования + поверка средств измерений</t>
  </si>
  <si>
    <r>
      <t xml:space="preserve">шлифовка/заточка ножей + </t>
    </r>
    <r>
      <rPr>
        <b/>
        <sz val="9"/>
        <rFont val="Calibri"/>
        <family val="2"/>
        <charset val="204"/>
        <scheme val="minor"/>
      </rPr>
      <t>ПРОМЫВКА</t>
    </r>
    <r>
      <rPr>
        <sz val="9"/>
        <rFont val="Calibri"/>
        <family val="2"/>
        <charset val="204"/>
        <scheme val="minor"/>
      </rPr>
      <t xml:space="preserve"> отопит сис</t>
    </r>
  </si>
  <si>
    <t>содержание и техническое обслуживание + установка и монтаж систем и оборуд</t>
  </si>
  <si>
    <t xml:space="preserve">Консультационные услуги (переводческие) </t>
  </si>
  <si>
    <t>услуги по содержанию зданий и прилег.+ рем пр осн сред-в</t>
  </si>
  <si>
    <t xml:space="preserve">снятие архивных данных </t>
  </si>
  <si>
    <r>
      <t>поверка расходомеров (</t>
    </r>
    <r>
      <rPr>
        <sz val="8"/>
        <rFont val="Calibri"/>
        <family val="2"/>
        <charset val="204"/>
        <scheme val="minor"/>
      </rPr>
      <t>СРЕДСТВ ИЗМЕРЕНИЙ-МОНОМЕТРЫ)</t>
    </r>
  </si>
  <si>
    <t>испытание пожар лестниц+обеспеч пожар и промыш безопасности</t>
  </si>
  <si>
    <t>оценка имущества+ изготов тех паспортов</t>
  </si>
  <si>
    <t>промывка отопит системы</t>
  </si>
  <si>
    <t>Консультационные услуги (в т.ч. переводческие)</t>
  </si>
  <si>
    <t>содержание и техническое обслуживание+ установка и монтаж систем и оборуд</t>
  </si>
  <si>
    <t>пожарная сигнализация+ охрана объекта сигнализ-я</t>
  </si>
  <si>
    <t>возмещение коммунальных услуг+ремонт проч осн средств</t>
  </si>
  <si>
    <t>техническое освидетельствование+ тех осмотр</t>
  </si>
  <si>
    <t>Расходы на выплату вознаграждений (3050)</t>
  </si>
  <si>
    <t>Выплата основного долга по кредиту ЕБРР (4032)</t>
  </si>
  <si>
    <t>принято                          в тарифе на 2024 г.</t>
  </si>
  <si>
    <t>отклонение факт к принято 2024 г.</t>
  </si>
  <si>
    <t xml:space="preserve">принято                          в тарифе 2024 г.               </t>
  </si>
  <si>
    <t>услуги по отводу и очистке сточных вод  за 2024 год</t>
  </si>
  <si>
    <t>ОПВР</t>
  </si>
  <si>
    <t>обяз проф пенс взносы</t>
  </si>
  <si>
    <t>прибыль на реал-ю инвест программы</t>
  </si>
  <si>
    <t>недополученный доход до 31 июля</t>
  </si>
  <si>
    <t>Доход (прибыль) после уплаты ОД</t>
  </si>
  <si>
    <t>План  на 6 мес. 2024 год</t>
  </si>
  <si>
    <t xml:space="preserve">услуги по подаче воды по магистральным трубопроводам и распределительным сетям (вода питьевая)  за 6 месяцев 2024  года </t>
  </si>
  <si>
    <t>Факт за 6 мес</t>
  </si>
  <si>
    <t>факт за 6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</si>
</sst>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_-* #,##0.00\ _₽_-;\-* #,##0.00\ _₽_-;_-* &quot;-&quot;??\ _₽_-;_-@_-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9"/>
      <name val="Arial"/>
      <family val="2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b/>
      <i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Calibri"/>
      <family val="2"/>
      <charset val="204"/>
      <scheme val="minor"/>
    </font>
    <font>
      <b/>
      <i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262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/>
    </xf>
    <xf numFmtId="0" fontId="9" fillId="0" borderId="7" xfId="0" applyFont="1" applyFill="1" applyBorder="1"/>
    <xf numFmtId="0" fontId="8" fillId="0" borderId="7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9" fillId="0" borderId="0" xfId="0" applyFont="1" applyFill="1"/>
    <xf numFmtId="0" fontId="9" fillId="0" borderId="0" xfId="0" applyFont="1" applyFill="1" applyAlignment="1"/>
    <xf numFmtId="4" fontId="9" fillId="0" borderId="0" xfId="0" applyNumberFormat="1" applyFont="1" applyFill="1"/>
    <xf numFmtId="4" fontId="8" fillId="0" borderId="1" xfId="0" applyNumberFormat="1" applyFont="1" applyFill="1" applyBorder="1"/>
    <xf numFmtId="0" fontId="8" fillId="0" borderId="7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/>
    <xf numFmtId="4" fontId="8" fillId="3" borderId="1" xfId="0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2" borderId="0" xfId="0" applyFont="1" applyFill="1" applyBorder="1" applyAlignment="1"/>
    <xf numFmtId="4" fontId="3" fillId="5" borderId="1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/>
    <xf numFmtId="0" fontId="9" fillId="0" borderId="8" xfId="0" applyFont="1" applyFill="1" applyBorder="1" applyAlignment="1"/>
    <xf numFmtId="0" fontId="9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8" fillId="0" borderId="8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9" fillId="0" borderId="9" xfId="0" applyFont="1" applyFill="1" applyBorder="1"/>
    <xf numFmtId="0" fontId="9" fillId="0" borderId="1" xfId="0" applyFont="1" applyFill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top" wrapText="1"/>
    </xf>
    <xf numFmtId="0" fontId="4" fillId="0" borderId="8" xfId="0" applyFont="1" applyFill="1" applyBorder="1" applyAlignment="1">
      <alignment wrapText="1"/>
    </xf>
    <xf numFmtId="2" fontId="13" fillId="0" borderId="13" xfId="0" applyNumberFormat="1" applyFont="1" applyBorder="1" applyAlignment="1">
      <alignment horizontal="right" vertical="top" wrapText="1"/>
    </xf>
    <xf numFmtId="0" fontId="2" fillId="5" borderId="1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/>
    </xf>
    <xf numFmtId="0" fontId="9" fillId="0" borderId="1" xfId="0" applyFont="1" applyBorder="1"/>
    <xf numFmtId="0" fontId="9" fillId="0" borderId="7" xfId="0" applyFont="1" applyBorder="1"/>
    <xf numFmtId="0" fontId="8" fillId="0" borderId="7" xfId="0" applyFont="1" applyBorder="1" applyAlignment="1">
      <alignment horizontal="center" vertical="center"/>
    </xf>
    <xf numFmtId="0" fontId="9" fillId="0" borderId="14" xfId="0" applyFont="1" applyBorder="1"/>
    <xf numFmtId="0" fontId="9" fillId="0" borderId="15" xfId="0" applyFont="1" applyBorder="1"/>
    <xf numFmtId="0" fontId="4" fillId="0" borderId="8" xfId="0" applyFont="1" applyFill="1" applyBorder="1" applyAlignment="1"/>
    <xf numFmtId="0" fontId="18" fillId="0" borderId="8" xfId="0" applyFont="1" applyFill="1" applyBorder="1" applyAlignment="1"/>
    <xf numFmtId="2" fontId="8" fillId="0" borderId="1" xfId="0" applyNumberFormat="1" applyFont="1" applyFill="1" applyBorder="1"/>
    <xf numFmtId="0" fontId="18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wrapText="1"/>
    </xf>
    <xf numFmtId="0" fontId="5" fillId="0" borderId="8" xfId="0" applyFont="1" applyFill="1" applyBorder="1" applyAlignment="1"/>
    <xf numFmtId="0" fontId="5" fillId="0" borderId="8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8" fillId="0" borderId="8" xfId="0" applyFont="1" applyBorder="1"/>
    <xf numFmtId="0" fontId="9" fillId="0" borderId="8" xfId="0" applyFont="1" applyBorder="1"/>
    <xf numFmtId="0" fontId="8" fillId="0" borderId="8" xfId="0" applyFont="1" applyBorder="1" applyAlignment="1">
      <alignment horizontal="left"/>
    </xf>
    <xf numFmtId="0" fontId="9" fillId="0" borderId="16" xfId="0" applyFont="1" applyBorder="1"/>
    <xf numFmtId="0" fontId="5" fillId="0" borderId="8" xfId="0" applyFont="1" applyFill="1" applyBorder="1"/>
    <xf numFmtId="0" fontId="5" fillId="0" borderId="0" xfId="0" applyFont="1" applyFill="1" applyAlignment="1"/>
    <xf numFmtId="0" fontId="9" fillId="4" borderId="8" xfId="0" applyFont="1" applyFill="1" applyBorder="1"/>
    <xf numFmtId="0" fontId="8" fillId="4" borderId="8" xfId="0" applyFont="1" applyFill="1" applyBorder="1"/>
    <xf numFmtId="0" fontId="8" fillId="0" borderId="8" xfId="0" applyFont="1" applyFill="1" applyBorder="1"/>
    <xf numFmtId="0" fontId="9" fillId="0" borderId="8" xfId="0" applyFont="1" applyFill="1" applyBorder="1"/>
    <xf numFmtId="2" fontId="8" fillId="4" borderId="1" xfId="0" applyNumberFormat="1" applyFont="1" applyFill="1" applyBorder="1"/>
    <xf numFmtId="4" fontId="15" fillId="0" borderId="1" xfId="0" applyNumberFormat="1" applyFont="1" applyFill="1" applyBorder="1" applyAlignment="1">
      <alignment horizontal="right" vertical="top" wrapText="1"/>
    </xf>
    <xf numFmtId="4" fontId="13" fillId="0" borderId="13" xfId="0" applyNumberFormat="1" applyFont="1" applyFill="1" applyBorder="1" applyAlignment="1">
      <alignment horizontal="right" vertical="top" wrapText="1"/>
    </xf>
    <xf numFmtId="4" fontId="20" fillId="0" borderId="13" xfId="0" applyNumberFormat="1" applyFont="1" applyBorder="1" applyAlignment="1">
      <alignment horizontal="right" vertical="top" wrapText="1"/>
    </xf>
    <xf numFmtId="0" fontId="5" fillId="0" borderId="1" xfId="0" applyFont="1" applyFill="1" applyBorder="1"/>
    <xf numFmtId="0" fontId="20" fillId="0" borderId="17" xfId="0" applyFont="1" applyFill="1" applyBorder="1" applyAlignment="1">
      <alignment horizontal="left" vertical="top" wrapText="1" indent="4"/>
    </xf>
    <xf numFmtId="2" fontId="9" fillId="0" borderId="0" xfId="0" applyNumberFormat="1" applyFont="1" applyFill="1"/>
    <xf numFmtId="0" fontId="2" fillId="5" borderId="9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49" fontId="2" fillId="5" borderId="9" xfId="0" applyNumberFormat="1" applyFont="1" applyFill="1" applyBorder="1" applyAlignment="1">
      <alignment vertical="center" wrapText="1"/>
    </xf>
    <xf numFmtId="0" fontId="9" fillId="0" borderId="2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Font="1" applyFill="1"/>
    <xf numFmtId="4" fontId="13" fillId="0" borderId="13" xfId="0" applyNumberFormat="1" applyFont="1" applyBorder="1" applyAlignment="1">
      <alignment horizontal="right" wrapText="1"/>
    </xf>
    <xf numFmtId="2" fontId="20" fillId="0" borderId="13" xfId="0" applyNumberFormat="1" applyFont="1" applyBorder="1" applyAlignment="1">
      <alignment horizontal="right" vertical="top" wrapText="1"/>
    </xf>
    <xf numFmtId="0" fontId="5" fillId="0" borderId="8" xfId="0" applyFont="1" applyBorder="1"/>
    <xf numFmtId="0" fontId="19" fillId="0" borderId="7" xfId="0" applyFont="1" applyBorder="1" applyAlignment="1">
      <alignment horizontal="center"/>
    </xf>
    <xf numFmtId="0" fontId="9" fillId="4" borderId="1" xfId="0" applyFont="1" applyFill="1" applyBorder="1"/>
    <xf numFmtId="0" fontId="8" fillId="4" borderId="8" xfId="0" applyFont="1" applyFill="1" applyBorder="1" applyAlignment="1">
      <alignment horizontal="left"/>
    </xf>
    <xf numFmtId="0" fontId="9" fillId="4" borderId="8" xfId="0" applyFont="1" applyFill="1" applyBorder="1" applyAlignment="1">
      <alignment horizontal="left"/>
    </xf>
    <xf numFmtId="4" fontId="9" fillId="4" borderId="0" xfId="0" applyNumberFormat="1" applyFont="1" applyFill="1"/>
    <xf numFmtId="4" fontId="23" fillId="0" borderId="13" xfId="0" applyNumberFormat="1" applyFont="1" applyBorder="1" applyAlignment="1">
      <alignment horizontal="right" vertical="top" wrapText="1"/>
    </xf>
    <xf numFmtId="4" fontId="15" fillId="0" borderId="13" xfId="0" applyNumberFormat="1" applyFont="1" applyBorder="1" applyAlignment="1">
      <alignment horizontal="right" vertical="top" wrapText="1"/>
    </xf>
    <xf numFmtId="4" fontId="8" fillId="0" borderId="0" xfId="0" applyNumberFormat="1" applyFont="1" applyFill="1"/>
    <xf numFmtId="43" fontId="9" fillId="0" borderId="0" xfId="2" applyFont="1" applyFill="1"/>
    <xf numFmtId="166" fontId="9" fillId="0" borderId="0" xfId="0" applyNumberFormat="1" applyFont="1" applyFill="1"/>
    <xf numFmtId="43" fontId="9" fillId="0" borderId="1" xfId="2" applyFont="1" applyFill="1" applyBorder="1"/>
    <xf numFmtId="2" fontId="23" fillId="0" borderId="13" xfId="0" applyNumberFormat="1" applyFont="1" applyBorder="1" applyAlignment="1">
      <alignment horizontal="right" vertical="top" wrapText="1"/>
    </xf>
    <xf numFmtId="43" fontId="8" fillId="0" borderId="1" xfId="2" applyFont="1" applyFill="1" applyBorder="1"/>
    <xf numFmtId="4" fontId="8" fillId="0" borderId="8" xfId="0" applyNumberFormat="1" applyFont="1" applyFill="1" applyBorder="1"/>
    <xf numFmtId="4" fontId="19" fillId="0" borderId="8" xfId="0" applyNumberFormat="1" applyFont="1" applyFill="1" applyBorder="1"/>
    <xf numFmtId="4" fontId="8" fillId="3" borderId="8" xfId="0" applyNumberFormat="1" applyFont="1" applyFill="1" applyBorder="1"/>
    <xf numFmtId="0" fontId="4" fillId="2" borderId="8" xfId="0" applyFont="1" applyFill="1" applyBorder="1" applyAlignment="1">
      <alignment wrapText="1"/>
    </xf>
    <xf numFmtId="4" fontId="23" fillId="2" borderId="13" xfId="0" applyNumberFormat="1" applyFont="1" applyFill="1" applyBorder="1" applyAlignment="1">
      <alignment horizontal="right" vertical="top" wrapText="1"/>
    </xf>
    <xf numFmtId="4" fontId="8" fillId="3" borderId="0" xfId="0" applyNumberFormat="1" applyFont="1" applyFill="1"/>
    <xf numFmtId="43" fontId="13" fillId="0" borderId="13" xfId="2" applyFont="1" applyBorder="1" applyAlignment="1">
      <alignment horizontal="right" vertical="top" wrapText="1"/>
    </xf>
    <xf numFmtId="4" fontId="19" fillId="0" borderId="1" xfId="0" applyNumberFormat="1" applyFont="1" applyFill="1" applyBorder="1"/>
    <xf numFmtId="2" fontId="13" fillId="0" borderId="13" xfId="0" applyNumberFormat="1" applyFont="1" applyFill="1" applyBorder="1" applyAlignment="1">
      <alignment horizontal="right" vertical="top" wrapText="1"/>
    </xf>
    <xf numFmtId="2" fontId="24" fillId="0" borderId="13" xfId="0" applyNumberFormat="1" applyFont="1" applyBorder="1" applyAlignment="1">
      <alignment horizontal="right" vertical="top" wrapText="1"/>
    </xf>
    <xf numFmtId="4" fontId="24" fillId="0" borderId="13" xfId="0" applyNumberFormat="1" applyFont="1" applyBorder="1" applyAlignment="1">
      <alignment horizontal="right" vertical="top" wrapText="1"/>
    </xf>
    <xf numFmtId="2" fontId="15" fillId="0" borderId="13" xfId="0" applyNumberFormat="1" applyFont="1" applyBorder="1" applyAlignment="1">
      <alignment horizontal="right" vertical="top" wrapText="1"/>
    </xf>
    <xf numFmtId="0" fontId="25" fillId="0" borderId="1" xfId="0" applyFont="1" applyFill="1" applyBorder="1"/>
    <xf numFmtId="2" fontId="26" fillId="0" borderId="13" xfId="0" applyNumberFormat="1" applyFont="1" applyBorder="1" applyAlignment="1">
      <alignment horizontal="right" vertical="top" wrapText="1"/>
    </xf>
    <xf numFmtId="43" fontId="20" fillId="0" borderId="13" xfId="2" applyFont="1" applyBorder="1" applyAlignment="1">
      <alignment horizontal="right" vertical="top" wrapText="1"/>
    </xf>
    <xf numFmtId="4" fontId="15" fillId="0" borderId="13" xfId="0" applyNumberFormat="1" applyFont="1" applyFill="1" applyBorder="1" applyAlignment="1">
      <alignment horizontal="right" vertical="top" wrapText="1"/>
    </xf>
    <xf numFmtId="43" fontId="15" fillId="0" borderId="13" xfId="2" applyFont="1" applyFill="1" applyBorder="1" applyAlignment="1">
      <alignment horizontal="right" vertical="top" wrapText="1"/>
    </xf>
    <xf numFmtId="2" fontId="20" fillId="0" borderId="13" xfId="0" applyNumberFormat="1" applyFont="1" applyFill="1" applyBorder="1" applyAlignment="1">
      <alignment horizontal="right" vertical="top" wrapText="1"/>
    </xf>
    <xf numFmtId="0" fontId="8" fillId="6" borderId="8" xfId="0" applyFont="1" applyFill="1" applyBorder="1"/>
    <xf numFmtId="0" fontId="9" fillId="6" borderId="8" xfId="0" applyFont="1" applyFill="1" applyBorder="1"/>
    <xf numFmtId="43" fontId="20" fillId="0" borderId="13" xfId="2" applyFont="1" applyFill="1" applyBorder="1" applyAlignment="1">
      <alignment horizontal="right" vertical="top" wrapText="1"/>
    </xf>
    <xf numFmtId="0" fontId="5" fillId="0" borderId="16" xfId="0" applyFont="1" applyBorder="1"/>
    <xf numFmtId="4" fontId="8" fillId="6" borderId="1" xfId="0" applyNumberFormat="1" applyFont="1" applyFill="1" applyBorder="1"/>
    <xf numFmtId="0" fontId="19" fillId="0" borderId="8" xfId="0" applyFont="1" applyFill="1" applyBorder="1"/>
    <xf numFmtId="4" fontId="13" fillId="0" borderId="17" xfId="0" applyNumberFormat="1" applyFont="1" applyFill="1" applyBorder="1" applyAlignment="1">
      <alignment horizontal="right" vertical="top" wrapText="1"/>
    </xf>
    <xf numFmtId="43" fontId="9" fillId="2" borderId="1" xfId="2" applyFont="1" applyFill="1" applyBorder="1"/>
    <xf numFmtId="4" fontId="27" fillId="0" borderId="13" xfId="0" applyNumberFormat="1" applyFont="1" applyBorder="1" applyAlignment="1">
      <alignment horizontal="right" vertical="top" wrapText="1"/>
    </xf>
    <xf numFmtId="4" fontId="13" fillId="4" borderId="13" xfId="0" applyNumberFormat="1" applyFont="1" applyFill="1" applyBorder="1" applyAlignment="1">
      <alignment horizontal="right" vertical="top" wrapText="1"/>
    </xf>
    <xf numFmtId="0" fontId="9" fillId="0" borderId="7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4" fontId="13" fillId="2" borderId="13" xfId="0" applyNumberFormat="1" applyFont="1" applyFill="1" applyBorder="1" applyAlignment="1">
      <alignment horizontal="right" vertical="top" wrapText="1"/>
    </xf>
    <xf numFmtId="4" fontId="20" fillId="2" borderId="13" xfId="0" applyNumberFormat="1" applyFont="1" applyFill="1" applyBorder="1" applyAlignment="1">
      <alignment horizontal="right" vertical="top" wrapText="1"/>
    </xf>
    <xf numFmtId="4" fontId="13" fillId="3" borderId="13" xfId="0" applyNumberFormat="1" applyFont="1" applyFill="1" applyBorder="1" applyAlignment="1">
      <alignment horizontal="right" vertical="top" wrapText="1"/>
    </xf>
    <xf numFmtId="4" fontId="20" fillId="0" borderId="13" xfId="0" applyNumberFormat="1" applyFont="1" applyFill="1" applyBorder="1" applyAlignment="1">
      <alignment horizontal="right" vertical="top" wrapText="1"/>
    </xf>
    <xf numFmtId="4" fontId="28" fillId="0" borderId="13" xfId="0" applyNumberFormat="1" applyFont="1" applyBorder="1" applyAlignment="1">
      <alignment horizontal="right" vertical="top" wrapText="1"/>
    </xf>
    <xf numFmtId="2" fontId="27" fillId="0" borderId="13" xfId="0" applyNumberFormat="1" applyFont="1" applyBorder="1" applyAlignment="1">
      <alignment horizontal="right" vertical="top" wrapText="1"/>
    </xf>
    <xf numFmtId="0" fontId="9" fillId="0" borderId="0" xfId="0" applyFont="1" applyFill="1" applyBorder="1"/>
    <xf numFmtId="0" fontId="13" fillId="0" borderId="13" xfId="0" applyFont="1" applyBorder="1" applyAlignment="1">
      <alignment horizontal="right" vertical="top" wrapText="1"/>
    </xf>
    <xf numFmtId="0" fontId="8" fillId="0" borderId="16" xfId="0" applyFont="1" applyFill="1" applyBorder="1" applyAlignment="1"/>
    <xf numFmtId="0" fontId="8" fillId="2" borderId="1" xfId="0" applyFont="1" applyFill="1" applyBorder="1" applyAlignment="1">
      <alignment horizontal="left"/>
    </xf>
    <xf numFmtId="4" fontId="13" fillId="6" borderId="1" xfId="0" applyNumberFormat="1" applyFont="1" applyFill="1" applyBorder="1" applyAlignment="1">
      <alignment horizontal="right" vertical="top" wrapText="1"/>
    </xf>
    <xf numFmtId="0" fontId="9" fillId="6" borderId="1" xfId="0" applyFont="1" applyFill="1" applyBorder="1"/>
    <xf numFmtId="0" fontId="19" fillId="0" borderId="1" xfId="0" applyFont="1" applyFill="1" applyBorder="1" applyAlignment="1"/>
    <xf numFmtId="0" fontId="4" fillId="0" borderId="1" xfId="0" applyFont="1" applyFill="1" applyBorder="1" applyAlignment="1"/>
    <xf numFmtId="4" fontId="13" fillId="0" borderId="1" xfId="0" applyNumberFormat="1" applyFont="1" applyBorder="1" applyAlignment="1">
      <alignment horizontal="right" vertical="top" wrapText="1"/>
    </xf>
    <xf numFmtId="2" fontId="13" fillId="6" borderId="1" xfId="0" applyNumberFormat="1" applyFont="1" applyFill="1" applyBorder="1" applyAlignment="1">
      <alignment horizontal="right" vertical="top" wrapText="1"/>
    </xf>
    <xf numFmtId="0" fontId="18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4" fontId="20" fillId="0" borderId="1" xfId="0" applyNumberFormat="1" applyFont="1" applyBorder="1" applyAlignment="1">
      <alignment horizontal="right" vertical="top" wrapText="1"/>
    </xf>
    <xf numFmtId="0" fontId="5" fillId="0" borderId="1" xfId="0" applyFont="1" applyFill="1" applyBorder="1" applyAlignment="1"/>
    <xf numFmtId="4" fontId="15" fillId="6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4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wrapText="1"/>
    </xf>
    <xf numFmtId="4" fontId="27" fillId="7" borderId="13" xfId="0" applyNumberFormat="1" applyFont="1" applyFill="1" applyBorder="1" applyAlignment="1">
      <alignment horizontal="right" vertical="top" wrapText="1"/>
    </xf>
    <xf numFmtId="0" fontId="8" fillId="7" borderId="8" xfId="0" applyFont="1" applyFill="1" applyBorder="1" applyAlignment="1"/>
    <xf numFmtId="0" fontId="9" fillId="7" borderId="8" xfId="0" applyFont="1" applyFill="1" applyBorder="1" applyAlignment="1"/>
    <xf numFmtId="0" fontId="8" fillId="7" borderId="8" xfId="0" applyFont="1" applyFill="1" applyBorder="1" applyAlignment="1">
      <alignment wrapText="1"/>
    </xf>
    <xf numFmtId="0" fontId="4" fillId="7" borderId="8" xfId="0" applyFont="1" applyFill="1" applyBorder="1" applyAlignment="1"/>
    <xf numFmtId="0" fontId="4" fillId="7" borderId="8" xfId="0" applyFont="1" applyFill="1" applyBorder="1" applyAlignment="1">
      <alignment wrapText="1"/>
    </xf>
    <xf numFmtId="4" fontId="27" fillId="0" borderId="13" xfId="0" applyNumberFormat="1" applyFont="1" applyFill="1" applyBorder="1" applyAlignment="1">
      <alignment horizontal="right" vertical="top" wrapText="1"/>
    </xf>
    <xf numFmtId="4" fontId="10" fillId="5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/>
    </xf>
    <xf numFmtId="4" fontId="2" fillId="5" borderId="18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vertical="center"/>
    </xf>
    <xf numFmtId="2" fontId="22" fillId="5" borderId="9" xfId="0" applyNumberFormat="1" applyFont="1" applyFill="1" applyBorder="1" applyAlignment="1">
      <alignment horizontal="center"/>
    </xf>
    <xf numFmtId="4" fontId="22" fillId="5" borderId="9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horizontal="center" vertical="center"/>
    </xf>
    <xf numFmtId="49" fontId="16" fillId="5" borderId="1" xfId="0" applyNumberFormat="1" applyFont="1" applyFill="1" applyBorder="1" applyAlignment="1">
      <alignment vertical="center" wrapText="1"/>
    </xf>
    <xf numFmtId="4" fontId="2" fillId="5" borderId="9" xfId="0" applyNumberFormat="1" applyFont="1" applyFill="1" applyBorder="1" applyAlignment="1">
      <alignment horizontal="center" vertical="center"/>
    </xf>
    <xf numFmtId="4" fontId="3" fillId="5" borderId="18" xfId="0" applyNumberFormat="1" applyFont="1" applyFill="1" applyBorder="1" applyAlignment="1">
      <alignment horizontal="center" vertical="top" wrapText="1"/>
    </xf>
    <xf numFmtId="4" fontId="3" fillId="5" borderId="9" xfId="0" applyNumberFormat="1" applyFont="1" applyFill="1" applyBorder="1" applyAlignment="1">
      <alignment horizontal="center" vertical="center" wrapText="1"/>
    </xf>
    <xf numFmtId="4" fontId="16" fillId="5" borderId="1" xfId="0" applyNumberFormat="1" applyFont="1" applyFill="1" applyBorder="1" applyAlignment="1">
      <alignment horizontal="center" vertical="center"/>
    </xf>
    <xf numFmtId="4" fontId="16" fillId="5" borderId="9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49" fontId="2" fillId="5" borderId="1" xfId="0" applyNumberFormat="1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17" fillId="5" borderId="9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justify" wrapText="1"/>
    </xf>
    <xf numFmtId="2" fontId="1" fillId="5" borderId="9" xfId="0" applyNumberFormat="1" applyFont="1" applyFill="1" applyBorder="1" applyAlignment="1">
      <alignment horizontal="center" vertical="center" wrapText="1"/>
    </xf>
    <xf numFmtId="0" fontId="10" fillId="5" borderId="0" xfId="0" applyFont="1" applyFill="1"/>
    <xf numFmtId="0" fontId="29" fillId="5" borderId="0" xfId="0" applyFont="1" applyFill="1" applyAlignment="1">
      <alignment horizontal="center" vertical="top" wrapText="1"/>
    </xf>
    <xf numFmtId="0" fontId="10" fillId="5" borderId="0" xfId="0" applyFont="1" applyFill="1" applyAlignment="1">
      <alignment vertical="center"/>
    </xf>
    <xf numFmtId="0" fontId="30" fillId="5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43" fontId="29" fillId="5" borderId="1" xfId="2" applyFont="1" applyFill="1" applyBorder="1" applyAlignment="1">
      <alignment vertical="center" wrapText="1"/>
    </xf>
    <xf numFmtId="4" fontId="30" fillId="5" borderId="0" xfId="0" applyNumberFormat="1" applyFont="1" applyFill="1"/>
    <xf numFmtId="0" fontId="2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9" fillId="5" borderId="5" xfId="0" applyFont="1" applyFill="1" applyBorder="1" applyAlignment="1">
      <alignment horizontal="center" vertical="center" wrapText="1"/>
    </xf>
    <xf numFmtId="165" fontId="29" fillId="5" borderId="1" xfId="0" applyNumberFormat="1" applyFont="1" applyFill="1" applyBorder="1" applyAlignment="1">
      <alignment vertical="center" wrapText="1"/>
    </xf>
    <xf numFmtId="164" fontId="29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>
      <alignment horizontal="center"/>
    </xf>
    <xf numFmtId="3" fontId="9" fillId="5" borderId="0" xfId="0" applyNumberFormat="1" applyFont="1" applyFill="1" applyAlignment="1">
      <alignment horizontal="center"/>
    </xf>
    <xf numFmtId="0" fontId="9" fillId="5" borderId="0" xfId="0" applyFont="1" applyFill="1"/>
    <xf numFmtId="0" fontId="29" fillId="5" borderId="0" xfId="0" applyFont="1" applyFill="1" applyAlignment="1">
      <alignment vertical="center" wrapText="1"/>
    </xf>
    <xf numFmtId="0" fontId="17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3" fontId="2" fillId="5" borderId="0" xfId="0" applyNumberFormat="1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0" xfId="0" applyFont="1" applyFill="1"/>
    <xf numFmtId="4" fontId="9" fillId="5" borderId="0" xfId="0" applyNumberFormat="1" applyFont="1" applyFill="1" applyAlignment="1">
      <alignment horizontal="center"/>
    </xf>
    <xf numFmtId="0" fontId="29" fillId="5" borderId="2" xfId="0" applyFont="1" applyFill="1" applyBorder="1" applyAlignment="1">
      <alignment vertical="center" wrapText="1"/>
    </xf>
    <xf numFmtId="0" fontId="1" fillId="5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top" wrapText="1" indent="4"/>
    </xf>
    <xf numFmtId="0" fontId="8" fillId="2" borderId="0" xfId="0" applyFont="1" applyFill="1" applyAlignment="1">
      <alignment horizontal="center"/>
    </xf>
    <xf numFmtId="0" fontId="8" fillId="6" borderId="0" xfId="0" applyFont="1" applyFill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top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vertical="center" wrapText="1"/>
    </xf>
    <xf numFmtId="0" fontId="30" fillId="5" borderId="4" xfId="0" applyFont="1" applyFill="1" applyBorder="1" applyAlignment="1">
      <alignment vertical="center" wrapText="1"/>
    </xf>
    <xf numFmtId="0" fontId="30" fillId="5" borderId="5" xfId="0" applyFont="1" applyFill="1" applyBorder="1" applyAlignment="1">
      <alignment vertical="center" wrapText="1"/>
    </xf>
    <xf numFmtId="165" fontId="29" fillId="5" borderId="2" xfId="0" applyNumberFormat="1" applyFont="1" applyFill="1" applyBorder="1" applyAlignment="1">
      <alignment horizontal="center" vertical="center" wrapText="1"/>
    </xf>
    <xf numFmtId="165" fontId="29" fillId="5" borderId="4" xfId="0" applyNumberFormat="1" applyFont="1" applyFill="1" applyBorder="1" applyAlignment="1">
      <alignment horizontal="center" vertical="center" wrapText="1"/>
    </xf>
    <xf numFmtId="165" fontId="29" fillId="5" borderId="5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9;&#1095;&#1077;&#1090;&#1072;%20&#1072;&#1074;&#1075;&#1091;&#1089;&#1090;/&#1082;&#1088;&#1080;&#1074;&#1086;&#1081;%20&#1075;&#1086;&#1076;%202022-2023/81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9;&#1095;&#1077;&#1090;&#1072;%20&#1072;&#1074;&#1075;&#1091;&#1089;&#1090;/&#1082;&#1088;&#1080;&#1074;&#1086;&#1081;%20&#1075;&#1086;&#1076;%202022-2023/72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9;&#1095;&#1077;&#1090;&#1072;%20&#1072;&#1074;&#1075;&#1091;&#1089;&#1090;/&#1082;&#1088;&#1080;&#1074;&#1086;&#1081;%20&#1075;&#1086;&#1076;%202022-2023/71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9;&#1095;&#1077;&#1090;&#1072;%20&#1072;&#1074;&#1075;&#1091;&#1089;&#1090;/&#1082;&#1088;&#1080;&#1074;&#1086;&#1081;%20&#1075;&#1086;&#1076;%202022-2023/81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9;&#1095;&#1077;&#1090;&#1072;%20&#1072;&#1074;&#1075;&#1091;&#1089;&#1090;/7212%2022,09,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9;&#1095;&#1077;&#1090;&#1072;%20&#1072;&#1074;&#1075;&#1091;&#1089;&#1090;/7110%2022,09,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9;&#1095;&#1077;&#1090;&#1072;%20&#1072;&#1074;&#1075;&#1091;&#1089;&#1090;/8114%2022,09,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78">
          <cell r="F78">
            <v>22040056.09</v>
          </cell>
        </row>
        <row r="79">
          <cell r="F79">
            <v>40618786.189999998</v>
          </cell>
        </row>
        <row r="86">
          <cell r="F86">
            <v>394000</v>
          </cell>
        </row>
        <row r="87">
          <cell r="F87">
            <v>81733.929999999993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8">
          <cell r="F18">
            <v>39900</v>
          </cell>
        </row>
        <row r="20">
          <cell r="F20">
            <v>11501.46</v>
          </cell>
        </row>
        <row r="28">
          <cell r="F28">
            <v>18106.509999999998</v>
          </cell>
        </row>
        <row r="29">
          <cell r="F29">
            <v>2260.5700000000002</v>
          </cell>
        </row>
        <row r="52">
          <cell r="F52">
            <v>2082780.99</v>
          </cell>
        </row>
        <row r="53">
          <cell r="F53">
            <v>4029086.34</v>
          </cell>
        </row>
        <row r="104">
          <cell r="F104">
            <v>30100</v>
          </cell>
        </row>
        <row r="105">
          <cell r="F105">
            <v>1849</v>
          </cell>
        </row>
        <row r="106">
          <cell r="F106">
            <v>8676.5400000000009</v>
          </cell>
        </row>
        <row r="127">
          <cell r="F127">
            <v>57579.199999999997</v>
          </cell>
        </row>
        <row r="128">
          <cell r="F128">
            <v>500827.81</v>
          </cell>
        </row>
        <row r="138">
          <cell r="F138">
            <v>1871012.28</v>
          </cell>
        </row>
        <row r="139">
          <cell r="F139">
            <v>3619369.7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8">
          <cell r="F18">
            <v>4005.39</v>
          </cell>
        </row>
        <row r="26">
          <cell r="F26">
            <v>196250.32</v>
          </cell>
        </row>
        <row r="32">
          <cell r="F32">
            <v>3675721.74</v>
          </cell>
        </row>
        <row r="33">
          <cell r="F33">
            <v>6438625.6500000004</v>
          </cell>
        </row>
        <row r="122">
          <cell r="F122">
            <v>3141027.2</v>
          </cell>
        </row>
        <row r="123">
          <cell r="F123">
            <v>5502071.5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84">
          <cell r="F84">
            <v>6450</v>
          </cell>
        </row>
        <row r="91">
          <cell r="F91">
            <v>18490</v>
          </cell>
        </row>
        <row r="119">
          <cell r="F119">
            <v>15862037.08</v>
          </cell>
        </row>
        <row r="120">
          <cell r="F120">
            <v>29036161.050000001</v>
          </cell>
        </row>
        <row r="133">
          <cell r="F133">
            <v>57860.59</v>
          </cell>
        </row>
        <row r="134">
          <cell r="F134">
            <v>190724.63</v>
          </cell>
        </row>
        <row r="135">
          <cell r="F135">
            <v>9290.15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68">
          <cell r="D68">
            <v>34.94</v>
          </cell>
        </row>
        <row r="74">
          <cell r="D74">
            <v>407.4</v>
          </cell>
        </row>
        <row r="75">
          <cell r="D75">
            <v>631.29</v>
          </cell>
        </row>
        <row r="87">
          <cell r="D87">
            <v>45.42</v>
          </cell>
        </row>
        <row r="93">
          <cell r="D93">
            <v>254.92</v>
          </cell>
        </row>
        <row r="97">
          <cell r="D97">
            <v>30100</v>
          </cell>
        </row>
        <row r="98">
          <cell r="D98">
            <v>1849</v>
          </cell>
        </row>
        <row r="99">
          <cell r="D99">
            <v>8676.5400000000009</v>
          </cell>
        </row>
        <row r="117">
          <cell r="D117">
            <v>57579.199999999997</v>
          </cell>
        </row>
        <row r="118">
          <cell r="D118">
            <v>331949.58</v>
          </cell>
        </row>
        <row r="128">
          <cell r="D128">
            <v>1256568.2</v>
          </cell>
        </row>
        <row r="129">
          <cell r="D129">
            <v>2427724.52</v>
          </cell>
        </row>
        <row r="134">
          <cell r="D134">
            <v>1395351.78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46">
          <cell r="D46">
            <v>241.71</v>
          </cell>
        </row>
        <row r="49">
          <cell r="D49">
            <v>2738.7</v>
          </cell>
        </row>
        <row r="51">
          <cell r="D51">
            <v>7312.22</v>
          </cell>
        </row>
        <row r="56">
          <cell r="D56">
            <v>964.2</v>
          </cell>
        </row>
        <row r="117">
          <cell r="D117">
            <v>2216253.7799999998</v>
          </cell>
        </row>
        <row r="118">
          <cell r="D118">
            <v>3847150.66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2">
          <cell r="D12">
            <v>138.83000000000001</v>
          </cell>
        </row>
        <row r="18">
          <cell r="D18">
            <v>267.75</v>
          </cell>
        </row>
        <row r="34">
          <cell r="D34">
            <v>43.83</v>
          </cell>
        </row>
        <row r="35">
          <cell r="D35">
            <v>37336.239999999998</v>
          </cell>
        </row>
        <row r="36">
          <cell r="D36">
            <v>68156.94</v>
          </cell>
        </row>
        <row r="38">
          <cell r="D38">
            <v>4534.5</v>
          </cell>
        </row>
        <row r="42">
          <cell r="D42">
            <v>406.46</v>
          </cell>
        </row>
        <row r="43">
          <cell r="D43">
            <v>7.23</v>
          </cell>
        </row>
        <row r="44">
          <cell r="D44">
            <v>22.23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E70D-1FCB-413E-9720-4BC01238D17C}">
  <dimension ref="A1:G529"/>
  <sheetViews>
    <sheetView zoomScale="160" zoomScaleNormal="160" zoomScaleSheetLayoutView="160" workbookViewId="0">
      <selection activeCell="E15" sqref="E15"/>
    </sheetView>
  </sheetViews>
  <sheetFormatPr defaultRowHeight="11.1" customHeight="1" x14ac:dyDescent="0.2"/>
  <cols>
    <col min="1" max="1" width="4.7109375" style="7" customWidth="1"/>
    <col min="2" max="2" width="54.5703125" style="8" customWidth="1"/>
    <col min="3" max="3" width="17" style="7" hidden="1" customWidth="1"/>
    <col min="4" max="4" width="17.42578125" style="7" customWidth="1"/>
    <col min="5" max="5" width="13.7109375" style="7" customWidth="1"/>
    <col min="6" max="6" width="11.42578125" style="7" bestFit="1" customWidth="1"/>
    <col min="7" max="231" width="9.140625" style="7"/>
    <col min="232" max="232" width="4.7109375" style="7" customWidth="1"/>
    <col min="233" max="233" width="61" style="7" customWidth="1"/>
    <col min="234" max="234" width="20.42578125" style="7" customWidth="1"/>
    <col min="235" max="235" width="0" style="7" hidden="1" customWidth="1"/>
    <col min="236" max="236" width="11" style="7" customWidth="1"/>
    <col min="237" max="237" width="12.7109375" style="7" customWidth="1"/>
    <col min="238" max="238" width="10.5703125" style="7" customWidth="1"/>
    <col min="239" max="487" width="9.140625" style="7"/>
    <col min="488" max="488" width="4.7109375" style="7" customWidth="1"/>
    <col min="489" max="489" width="61" style="7" customWidth="1"/>
    <col min="490" max="490" width="20.42578125" style="7" customWidth="1"/>
    <col min="491" max="491" width="0" style="7" hidden="1" customWidth="1"/>
    <col min="492" max="492" width="11" style="7" customWidth="1"/>
    <col min="493" max="493" width="12.7109375" style="7" customWidth="1"/>
    <col min="494" max="494" width="10.5703125" style="7" customWidth="1"/>
    <col min="495" max="743" width="9.140625" style="7"/>
    <col min="744" max="744" width="4.7109375" style="7" customWidth="1"/>
    <col min="745" max="745" width="61" style="7" customWidth="1"/>
    <col min="746" max="746" width="20.42578125" style="7" customWidth="1"/>
    <col min="747" max="747" width="0" style="7" hidden="1" customWidth="1"/>
    <col min="748" max="748" width="11" style="7" customWidth="1"/>
    <col min="749" max="749" width="12.7109375" style="7" customWidth="1"/>
    <col min="750" max="750" width="10.5703125" style="7" customWidth="1"/>
    <col min="751" max="999" width="9.140625" style="7"/>
    <col min="1000" max="1000" width="4.7109375" style="7" customWidth="1"/>
    <col min="1001" max="1001" width="61" style="7" customWidth="1"/>
    <col min="1002" max="1002" width="20.42578125" style="7" customWidth="1"/>
    <col min="1003" max="1003" width="0" style="7" hidden="1" customWidth="1"/>
    <col min="1004" max="1004" width="11" style="7" customWidth="1"/>
    <col min="1005" max="1005" width="12.7109375" style="7" customWidth="1"/>
    <col min="1006" max="1006" width="10.5703125" style="7" customWidth="1"/>
    <col min="1007" max="1255" width="9.140625" style="7"/>
    <col min="1256" max="1256" width="4.7109375" style="7" customWidth="1"/>
    <col min="1257" max="1257" width="61" style="7" customWidth="1"/>
    <col min="1258" max="1258" width="20.42578125" style="7" customWidth="1"/>
    <col min="1259" max="1259" width="0" style="7" hidden="1" customWidth="1"/>
    <col min="1260" max="1260" width="11" style="7" customWidth="1"/>
    <col min="1261" max="1261" width="12.7109375" style="7" customWidth="1"/>
    <col min="1262" max="1262" width="10.5703125" style="7" customWidth="1"/>
    <col min="1263" max="1511" width="9.140625" style="7"/>
    <col min="1512" max="1512" width="4.7109375" style="7" customWidth="1"/>
    <col min="1513" max="1513" width="61" style="7" customWidth="1"/>
    <col min="1514" max="1514" width="20.42578125" style="7" customWidth="1"/>
    <col min="1515" max="1515" width="0" style="7" hidden="1" customWidth="1"/>
    <col min="1516" max="1516" width="11" style="7" customWidth="1"/>
    <col min="1517" max="1517" width="12.7109375" style="7" customWidth="1"/>
    <col min="1518" max="1518" width="10.5703125" style="7" customWidth="1"/>
    <col min="1519" max="1767" width="9.140625" style="7"/>
    <col min="1768" max="1768" width="4.7109375" style="7" customWidth="1"/>
    <col min="1769" max="1769" width="61" style="7" customWidth="1"/>
    <col min="1770" max="1770" width="20.42578125" style="7" customWidth="1"/>
    <col min="1771" max="1771" width="0" style="7" hidden="1" customWidth="1"/>
    <col min="1772" max="1772" width="11" style="7" customWidth="1"/>
    <col min="1773" max="1773" width="12.7109375" style="7" customWidth="1"/>
    <col min="1774" max="1774" width="10.5703125" style="7" customWidth="1"/>
    <col min="1775" max="2023" width="9.140625" style="7"/>
    <col min="2024" max="2024" width="4.7109375" style="7" customWidth="1"/>
    <col min="2025" max="2025" width="61" style="7" customWidth="1"/>
    <col min="2026" max="2026" width="20.42578125" style="7" customWidth="1"/>
    <col min="2027" max="2027" width="0" style="7" hidden="1" customWidth="1"/>
    <col min="2028" max="2028" width="11" style="7" customWidth="1"/>
    <col min="2029" max="2029" width="12.7109375" style="7" customWidth="1"/>
    <col min="2030" max="2030" width="10.5703125" style="7" customWidth="1"/>
    <col min="2031" max="2279" width="9.140625" style="7"/>
    <col min="2280" max="2280" width="4.7109375" style="7" customWidth="1"/>
    <col min="2281" max="2281" width="61" style="7" customWidth="1"/>
    <col min="2282" max="2282" width="20.42578125" style="7" customWidth="1"/>
    <col min="2283" max="2283" width="0" style="7" hidden="1" customWidth="1"/>
    <col min="2284" max="2284" width="11" style="7" customWidth="1"/>
    <col min="2285" max="2285" width="12.7109375" style="7" customWidth="1"/>
    <col min="2286" max="2286" width="10.5703125" style="7" customWidth="1"/>
    <col min="2287" max="2535" width="9.140625" style="7"/>
    <col min="2536" max="2536" width="4.7109375" style="7" customWidth="1"/>
    <col min="2537" max="2537" width="61" style="7" customWidth="1"/>
    <col min="2538" max="2538" width="20.42578125" style="7" customWidth="1"/>
    <col min="2539" max="2539" width="0" style="7" hidden="1" customWidth="1"/>
    <col min="2540" max="2540" width="11" style="7" customWidth="1"/>
    <col min="2541" max="2541" width="12.7109375" style="7" customWidth="1"/>
    <col min="2542" max="2542" width="10.5703125" style="7" customWidth="1"/>
    <col min="2543" max="2791" width="9.140625" style="7"/>
    <col min="2792" max="2792" width="4.7109375" style="7" customWidth="1"/>
    <col min="2793" max="2793" width="61" style="7" customWidth="1"/>
    <col min="2794" max="2794" width="20.42578125" style="7" customWidth="1"/>
    <col min="2795" max="2795" width="0" style="7" hidden="1" customWidth="1"/>
    <col min="2796" max="2796" width="11" style="7" customWidth="1"/>
    <col min="2797" max="2797" width="12.7109375" style="7" customWidth="1"/>
    <col min="2798" max="2798" width="10.5703125" style="7" customWidth="1"/>
    <col min="2799" max="3047" width="9.140625" style="7"/>
    <col min="3048" max="3048" width="4.7109375" style="7" customWidth="1"/>
    <col min="3049" max="3049" width="61" style="7" customWidth="1"/>
    <col min="3050" max="3050" width="20.42578125" style="7" customWidth="1"/>
    <col min="3051" max="3051" width="0" style="7" hidden="1" customWidth="1"/>
    <col min="3052" max="3052" width="11" style="7" customWidth="1"/>
    <col min="3053" max="3053" width="12.7109375" style="7" customWidth="1"/>
    <col min="3054" max="3054" width="10.5703125" style="7" customWidth="1"/>
    <col min="3055" max="3303" width="9.140625" style="7"/>
    <col min="3304" max="3304" width="4.7109375" style="7" customWidth="1"/>
    <col min="3305" max="3305" width="61" style="7" customWidth="1"/>
    <col min="3306" max="3306" width="20.42578125" style="7" customWidth="1"/>
    <col min="3307" max="3307" width="0" style="7" hidden="1" customWidth="1"/>
    <col min="3308" max="3308" width="11" style="7" customWidth="1"/>
    <col min="3309" max="3309" width="12.7109375" style="7" customWidth="1"/>
    <col min="3310" max="3310" width="10.5703125" style="7" customWidth="1"/>
    <col min="3311" max="3559" width="9.140625" style="7"/>
    <col min="3560" max="3560" width="4.7109375" style="7" customWidth="1"/>
    <col min="3561" max="3561" width="61" style="7" customWidth="1"/>
    <col min="3562" max="3562" width="20.42578125" style="7" customWidth="1"/>
    <col min="3563" max="3563" width="0" style="7" hidden="1" customWidth="1"/>
    <col min="3564" max="3564" width="11" style="7" customWidth="1"/>
    <col min="3565" max="3565" width="12.7109375" style="7" customWidth="1"/>
    <col min="3566" max="3566" width="10.5703125" style="7" customWidth="1"/>
    <col min="3567" max="3815" width="9.140625" style="7"/>
    <col min="3816" max="3816" width="4.7109375" style="7" customWidth="1"/>
    <col min="3817" max="3817" width="61" style="7" customWidth="1"/>
    <col min="3818" max="3818" width="20.42578125" style="7" customWidth="1"/>
    <col min="3819" max="3819" width="0" style="7" hidden="1" customWidth="1"/>
    <col min="3820" max="3820" width="11" style="7" customWidth="1"/>
    <col min="3821" max="3821" width="12.7109375" style="7" customWidth="1"/>
    <col min="3822" max="3822" width="10.5703125" style="7" customWidth="1"/>
    <col min="3823" max="4071" width="9.140625" style="7"/>
    <col min="4072" max="4072" width="4.7109375" style="7" customWidth="1"/>
    <col min="4073" max="4073" width="61" style="7" customWidth="1"/>
    <col min="4074" max="4074" width="20.42578125" style="7" customWidth="1"/>
    <col min="4075" max="4075" width="0" style="7" hidden="1" customWidth="1"/>
    <col min="4076" max="4076" width="11" style="7" customWidth="1"/>
    <col min="4077" max="4077" width="12.7109375" style="7" customWidth="1"/>
    <col min="4078" max="4078" width="10.5703125" style="7" customWidth="1"/>
    <col min="4079" max="4327" width="9.140625" style="7"/>
    <col min="4328" max="4328" width="4.7109375" style="7" customWidth="1"/>
    <col min="4329" max="4329" width="61" style="7" customWidth="1"/>
    <col min="4330" max="4330" width="20.42578125" style="7" customWidth="1"/>
    <col min="4331" max="4331" width="0" style="7" hidden="1" customWidth="1"/>
    <col min="4332" max="4332" width="11" style="7" customWidth="1"/>
    <col min="4333" max="4333" width="12.7109375" style="7" customWidth="1"/>
    <col min="4334" max="4334" width="10.5703125" style="7" customWidth="1"/>
    <col min="4335" max="4583" width="9.140625" style="7"/>
    <col min="4584" max="4584" width="4.7109375" style="7" customWidth="1"/>
    <col min="4585" max="4585" width="61" style="7" customWidth="1"/>
    <col min="4586" max="4586" width="20.42578125" style="7" customWidth="1"/>
    <col min="4587" max="4587" width="0" style="7" hidden="1" customWidth="1"/>
    <col min="4588" max="4588" width="11" style="7" customWidth="1"/>
    <col min="4589" max="4589" width="12.7109375" style="7" customWidth="1"/>
    <col min="4590" max="4590" width="10.5703125" style="7" customWidth="1"/>
    <col min="4591" max="4839" width="9.140625" style="7"/>
    <col min="4840" max="4840" width="4.7109375" style="7" customWidth="1"/>
    <col min="4841" max="4841" width="61" style="7" customWidth="1"/>
    <col min="4842" max="4842" width="20.42578125" style="7" customWidth="1"/>
    <col min="4843" max="4843" width="0" style="7" hidden="1" customWidth="1"/>
    <col min="4844" max="4844" width="11" style="7" customWidth="1"/>
    <col min="4845" max="4845" width="12.7109375" style="7" customWidth="1"/>
    <col min="4846" max="4846" width="10.5703125" style="7" customWidth="1"/>
    <col min="4847" max="5095" width="9.140625" style="7"/>
    <col min="5096" max="5096" width="4.7109375" style="7" customWidth="1"/>
    <col min="5097" max="5097" width="61" style="7" customWidth="1"/>
    <col min="5098" max="5098" width="20.42578125" style="7" customWidth="1"/>
    <col min="5099" max="5099" width="0" style="7" hidden="1" customWidth="1"/>
    <col min="5100" max="5100" width="11" style="7" customWidth="1"/>
    <col min="5101" max="5101" width="12.7109375" style="7" customWidth="1"/>
    <col min="5102" max="5102" width="10.5703125" style="7" customWidth="1"/>
    <col min="5103" max="5351" width="9.140625" style="7"/>
    <col min="5352" max="5352" width="4.7109375" style="7" customWidth="1"/>
    <col min="5353" max="5353" width="61" style="7" customWidth="1"/>
    <col min="5354" max="5354" width="20.42578125" style="7" customWidth="1"/>
    <col min="5355" max="5355" width="0" style="7" hidden="1" customWidth="1"/>
    <col min="5356" max="5356" width="11" style="7" customWidth="1"/>
    <col min="5357" max="5357" width="12.7109375" style="7" customWidth="1"/>
    <col min="5358" max="5358" width="10.5703125" style="7" customWidth="1"/>
    <col min="5359" max="5607" width="9.140625" style="7"/>
    <col min="5608" max="5608" width="4.7109375" style="7" customWidth="1"/>
    <col min="5609" max="5609" width="61" style="7" customWidth="1"/>
    <col min="5610" max="5610" width="20.42578125" style="7" customWidth="1"/>
    <col min="5611" max="5611" width="0" style="7" hidden="1" customWidth="1"/>
    <col min="5612" max="5612" width="11" style="7" customWidth="1"/>
    <col min="5613" max="5613" width="12.7109375" style="7" customWidth="1"/>
    <col min="5614" max="5614" width="10.5703125" style="7" customWidth="1"/>
    <col min="5615" max="5863" width="9.140625" style="7"/>
    <col min="5864" max="5864" width="4.7109375" style="7" customWidth="1"/>
    <col min="5865" max="5865" width="61" style="7" customWidth="1"/>
    <col min="5866" max="5866" width="20.42578125" style="7" customWidth="1"/>
    <col min="5867" max="5867" width="0" style="7" hidden="1" customWidth="1"/>
    <col min="5868" max="5868" width="11" style="7" customWidth="1"/>
    <col min="5869" max="5869" width="12.7109375" style="7" customWidth="1"/>
    <col min="5870" max="5870" width="10.5703125" style="7" customWidth="1"/>
    <col min="5871" max="6119" width="9.140625" style="7"/>
    <col min="6120" max="6120" width="4.7109375" style="7" customWidth="1"/>
    <col min="6121" max="6121" width="61" style="7" customWidth="1"/>
    <col min="6122" max="6122" width="20.42578125" style="7" customWidth="1"/>
    <col min="6123" max="6123" width="0" style="7" hidden="1" customWidth="1"/>
    <col min="6124" max="6124" width="11" style="7" customWidth="1"/>
    <col min="6125" max="6125" width="12.7109375" style="7" customWidth="1"/>
    <col min="6126" max="6126" width="10.5703125" style="7" customWidth="1"/>
    <col min="6127" max="6375" width="9.140625" style="7"/>
    <col min="6376" max="6376" width="4.7109375" style="7" customWidth="1"/>
    <col min="6377" max="6377" width="61" style="7" customWidth="1"/>
    <col min="6378" max="6378" width="20.42578125" style="7" customWidth="1"/>
    <col min="6379" max="6379" width="0" style="7" hidden="1" customWidth="1"/>
    <col min="6380" max="6380" width="11" style="7" customWidth="1"/>
    <col min="6381" max="6381" width="12.7109375" style="7" customWidth="1"/>
    <col min="6382" max="6382" width="10.5703125" style="7" customWidth="1"/>
    <col min="6383" max="6631" width="9.140625" style="7"/>
    <col min="6632" max="6632" width="4.7109375" style="7" customWidth="1"/>
    <col min="6633" max="6633" width="61" style="7" customWidth="1"/>
    <col min="6634" max="6634" width="20.42578125" style="7" customWidth="1"/>
    <col min="6635" max="6635" width="0" style="7" hidden="1" customWidth="1"/>
    <col min="6636" max="6636" width="11" style="7" customWidth="1"/>
    <col min="6637" max="6637" width="12.7109375" style="7" customWidth="1"/>
    <col min="6638" max="6638" width="10.5703125" style="7" customWidth="1"/>
    <col min="6639" max="6887" width="9.140625" style="7"/>
    <col min="6888" max="6888" width="4.7109375" style="7" customWidth="1"/>
    <col min="6889" max="6889" width="61" style="7" customWidth="1"/>
    <col min="6890" max="6890" width="20.42578125" style="7" customWidth="1"/>
    <col min="6891" max="6891" width="0" style="7" hidden="1" customWidth="1"/>
    <col min="6892" max="6892" width="11" style="7" customWidth="1"/>
    <col min="6893" max="6893" width="12.7109375" style="7" customWidth="1"/>
    <col min="6894" max="6894" width="10.5703125" style="7" customWidth="1"/>
    <col min="6895" max="7143" width="9.140625" style="7"/>
    <col min="7144" max="7144" width="4.7109375" style="7" customWidth="1"/>
    <col min="7145" max="7145" width="61" style="7" customWidth="1"/>
    <col min="7146" max="7146" width="20.42578125" style="7" customWidth="1"/>
    <col min="7147" max="7147" width="0" style="7" hidden="1" customWidth="1"/>
    <col min="7148" max="7148" width="11" style="7" customWidth="1"/>
    <col min="7149" max="7149" width="12.7109375" style="7" customWidth="1"/>
    <col min="7150" max="7150" width="10.5703125" style="7" customWidth="1"/>
    <col min="7151" max="7399" width="9.140625" style="7"/>
    <col min="7400" max="7400" width="4.7109375" style="7" customWidth="1"/>
    <col min="7401" max="7401" width="61" style="7" customWidth="1"/>
    <col min="7402" max="7402" width="20.42578125" style="7" customWidth="1"/>
    <col min="7403" max="7403" width="0" style="7" hidden="1" customWidth="1"/>
    <col min="7404" max="7404" width="11" style="7" customWidth="1"/>
    <col min="7405" max="7405" width="12.7109375" style="7" customWidth="1"/>
    <col min="7406" max="7406" width="10.5703125" style="7" customWidth="1"/>
    <col min="7407" max="7655" width="9.140625" style="7"/>
    <col min="7656" max="7656" width="4.7109375" style="7" customWidth="1"/>
    <col min="7657" max="7657" width="61" style="7" customWidth="1"/>
    <col min="7658" max="7658" width="20.42578125" style="7" customWidth="1"/>
    <col min="7659" max="7659" width="0" style="7" hidden="1" customWidth="1"/>
    <col min="7660" max="7660" width="11" style="7" customWidth="1"/>
    <col min="7661" max="7661" width="12.7109375" style="7" customWidth="1"/>
    <col min="7662" max="7662" width="10.5703125" style="7" customWidth="1"/>
    <col min="7663" max="7911" width="9.140625" style="7"/>
    <col min="7912" max="7912" width="4.7109375" style="7" customWidth="1"/>
    <col min="7913" max="7913" width="61" style="7" customWidth="1"/>
    <col min="7914" max="7914" width="20.42578125" style="7" customWidth="1"/>
    <col min="7915" max="7915" width="0" style="7" hidden="1" customWidth="1"/>
    <col min="7916" max="7916" width="11" style="7" customWidth="1"/>
    <col min="7917" max="7917" width="12.7109375" style="7" customWidth="1"/>
    <col min="7918" max="7918" width="10.5703125" style="7" customWidth="1"/>
    <col min="7919" max="8167" width="9.140625" style="7"/>
    <col min="8168" max="8168" width="4.7109375" style="7" customWidth="1"/>
    <col min="8169" max="8169" width="61" style="7" customWidth="1"/>
    <col min="8170" max="8170" width="20.42578125" style="7" customWidth="1"/>
    <col min="8171" max="8171" width="0" style="7" hidden="1" customWidth="1"/>
    <col min="8172" max="8172" width="11" style="7" customWidth="1"/>
    <col min="8173" max="8173" width="12.7109375" style="7" customWidth="1"/>
    <col min="8174" max="8174" width="10.5703125" style="7" customWidth="1"/>
    <col min="8175" max="8423" width="9.140625" style="7"/>
    <col min="8424" max="8424" width="4.7109375" style="7" customWidth="1"/>
    <col min="8425" max="8425" width="61" style="7" customWidth="1"/>
    <col min="8426" max="8426" width="20.42578125" style="7" customWidth="1"/>
    <col min="8427" max="8427" width="0" style="7" hidden="1" customWidth="1"/>
    <col min="8428" max="8428" width="11" style="7" customWidth="1"/>
    <col min="8429" max="8429" width="12.7109375" style="7" customWidth="1"/>
    <col min="8430" max="8430" width="10.5703125" style="7" customWidth="1"/>
    <col min="8431" max="8679" width="9.140625" style="7"/>
    <col min="8680" max="8680" width="4.7109375" style="7" customWidth="1"/>
    <col min="8681" max="8681" width="61" style="7" customWidth="1"/>
    <col min="8682" max="8682" width="20.42578125" style="7" customWidth="1"/>
    <col min="8683" max="8683" width="0" style="7" hidden="1" customWidth="1"/>
    <col min="8684" max="8684" width="11" style="7" customWidth="1"/>
    <col min="8685" max="8685" width="12.7109375" style="7" customWidth="1"/>
    <col min="8686" max="8686" width="10.5703125" style="7" customWidth="1"/>
    <col min="8687" max="8935" width="9.140625" style="7"/>
    <col min="8936" max="8936" width="4.7109375" style="7" customWidth="1"/>
    <col min="8937" max="8937" width="61" style="7" customWidth="1"/>
    <col min="8938" max="8938" width="20.42578125" style="7" customWidth="1"/>
    <col min="8939" max="8939" width="0" style="7" hidden="1" customWidth="1"/>
    <col min="8940" max="8940" width="11" style="7" customWidth="1"/>
    <col min="8941" max="8941" width="12.7109375" style="7" customWidth="1"/>
    <col min="8942" max="8942" width="10.5703125" style="7" customWidth="1"/>
    <col min="8943" max="9191" width="9.140625" style="7"/>
    <col min="9192" max="9192" width="4.7109375" style="7" customWidth="1"/>
    <col min="9193" max="9193" width="61" style="7" customWidth="1"/>
    <col min="9194" max="9194" width="20.42578125" style="7" customWidth="1"/>
    <col min="9195" max="9195" width="0" style="7" hidden="1" customWidth="1"/>
    <col min="9196" max="9196" width="11" style="7" customWidth="1"/>
    <col min="9197" max="9197" width="12.7109375" style="7" customWidth="1"/>
    <col min="9198" max="9198" width="10.5703125" style="7" customWidth="1"/>
    <col min="9199" max="9447" width="9.140625" style="7"/>
    <col min="9448" max="9448" width="4.7109375" style="7" customWidth="1"/>
    <col min="9449" max="9449" width="61" style="7" customWidth="1"/>
    <col min="9450" max="9450" width="20.42578125" style="7" customWidth="1"/>
    <col min="9451" max="9451" width="0" style="7" hidden="1" customWidth="1"/>
    <col min="9452" max="9452" width="11" style="7" customWidth="1"/>
    <col min="9453" max="9453" width="12.7109375" style="7" customWidth="1"/>
    <col min="9454" max="9454" width="10.5703125" style="7" customWidth="1"/>
    <col min="9455" max="9703" width="9.140625" style="7"/>
    <col min="9704" max="9704" width="4.7109375" style="7" customWidth="1"/>
    <col min="9705" max="9705" width="61" style="7" customWidth="1"/>
    <col min="9706" max="9706" width="20.42578125" style="7" customWidth="1"/>
    <col min="9707" max="9707" width="0" style="7" hidden="1" customWidth="1"/>
    <col min="9708" max="9708" width="11" style="7" customWidth="1"/>
    <col min="9709" max="9709" width="12.7109375" style="7" customWidth="1"/>
    <col min="9710" max="9710" width="10.5703125" style="7" customWidth="1"/>
    <col min="9711" max="9959" width="9.140625" style="7"/>
    <col min="9960" max="9960" width="4.7109375" style="7" customWidth="1"/>
    <col min="9961" max="9961" width="61" style="7" customWidth="1"/>
    <col min="9962" max="9962" width="20.42578125" style="7" customWidth="1"/>
    <col min="9963" max="9963" width="0" style="7" hidden="1" customWidth="1"/>
    <col min="9964" max="9964" width="11" style="7" customWidth="1"/>
    <col min="9965" max="9965" width="12.7109375" style="7" customWidth="1"/>
    <col min="9966" max="9966" width="10.5703125" style="7" customWidth="1"/>
    <col min="9967" max="10215" width="9.140625" style="7"/>
    <col min="10216" max="10216" width="4.7109375" style="7" customWidth="1"/>
    <col min="10217" max="10217" width="61" style="7" customWidth="1"/>
    <col min="10218" max="10218" width="20.42578125" style="7" customWidth="1"/>
    <col min="10219" max="10219" width="0" style="7" hidden="1" customWidth="1"/>
    <col min="10220" max="10220" width="11" style="7" customWidth="1"/>
    <col min="10221" max="10221" width="12.7109375" style="7" customWidth="1"/>
    <col min="10222" max="10222" width="10.5703125" style="7" customWidth="1"/>
    <col min="10223" max="10471" width="9.140625" style="7"/>
    <col min="10472" max="10472" width="4.7109375" style="7" customWidth="1"/>
    <col min="10473" max="10473" width="61" style="7" customWidth="1"/>
    <col min="10474" max="10474" width="20.42578125" style="7" customWidth="1"/>
    <col min="10475" max="10475" width="0" style="7" hidden="1" customWidth="1"/>
    <col min="10476" max="10476" width="11" style="7" customWidth="1"/>
    <col min="10477" max="10477" width="12.7109375" style="7" customWidth="1"/>
    <col min="10478" max="10478" width="10.5703125" style="7" customWidth="1"/>
    <col min="10479" max="10727" width="9.140625" style="7"/>
    <col min="10728" max="10728" width="4.7109375" style="7" customWidth="1"/>
    <col min="10729" max="10729" width="61" style="7" customWidth="1"/>
    <col min="10730" max="10730" width="20.42578125" style="7" customWidth="1"/>
    <col min="10731" max="10731" width="0" style="7" hidden="1" customWidth="1"/>
    <col min="10732" max="10732" width="11" style="7" customWidth="1"/>
    <col min="10733" max="10733" width="12.7109375" style="7" customWidth="1"/>
    <col min="10734" max="10734" width="10.5703125" style="7" customWidth="1"/>
    <col min="10735" max="10983" width="9.140625" style="7"/>
    <col min="10984" max="10984" width="4.7109375" style="7" customWidth="1"/>
    <col min="10985" max="10985" width="61" style="7" customWidth="1"/>
    <col min="10986" max="10986" width="20.42578125" style="7" customWidth="1"/>
    <col min="10987" max="10987" width="0" style="7" hidden="1" customWidth="1"/>
    <col min="10988" max="10988" width="11" style="7" customWidth="1"/>
    <col min="10989" max="10989" width="12.7109375" style="7" customWidth="1"/>
    <col min="10990" max="10990" width="10.5703125" style="7" customWidth="1"/>
    <col min="10991" max="11239" width="9.140625" style="7"/>
    <col min="11240" max="11240" width="4.7109375" style="7" customWidth="1"/>
    <col min="11241" max="11241" width="61" style="7" customWidth="1"/>
    <col min="11242" max="11242" width="20.42578125" style="7" customWidth="1"/>
    <col min="11243" max="11243" width="0" style="7" hidden="1" customWidth="1"/>
    <col min="11244" max="11244" width="11" style="7" customWidth="1"/>
    <col min="11245" max="11245" width="12.7109375" style="7" customWidth="1"/>
    <col min="11246" max="11246" width="10.5703125" style="7" customWidth="1"/>
    <col min="11247" max="11495" width="9.140625" style="7"/>
    <col min="11496" max="11496" width="4.7109375" style="7" customWidth="1"/>
    <col min="11497" max="11497" width="61" style="7" customWidth="1"/>
    <col min="11498" max="11498" width="20.42578125" style="7" customWidth="1"/>
    <col min="11499" max="11499" width="0" style="7" hidden="1" customWidth="1"/>
    <col min="11500" max="11500" width="11" style="7" customWidth="1"/>
    <col min="11501" max="11501" width="12.7109375" style="7" customWidth="1"/>
    <col min="11502" max="11502" width="10.5703125" style="7" customWidth="1"/>
    <col min="11503" max="11751" width="9.140625" style="7"/>
    <col min="11752" max="11752" width="4.7109375" style="7" customWidth="1"/>
    <col min="11753" max="11753" width="61" style="7" customWidth="1"/>
    <col min="11754" max="11754" width="20.42578125" style="7" customWidth="1"/>
    <col min="11755" max="11755" width="0" style="7" hidden="1" customWidth="1"/>
    <col min="11756" max="11756" width="11" style="7" customWidth="1"/>
    <col min="11757" max="11757" width="12.7109375" style="7" customWidth="1"/>
    <col min="11758" max="11758" width="10.5703125" style="7" customWidth="1"/>
    <col min="11759" max="12007" width="9.140625" style="7"/>
    <col min="12008" max="12008" width="4.7109375" style="7" customWidth="1"/>
    <col min="12009" max="12009" width="61" style="7" customWidth="1"/>
    <col min="12010" max="12010" width="20.42578125" style="7" customWidth="1"/>
    <col min="12011" max="12011" width="0" style="7" hidden="1" customWidth="1"/>
    <col min="12012" max="12012" width="11" style="7" customWidth="1"/>
    <col min="12013" max="12013" width="12.7109375" style="7" customWidth="1"/>
    <col min="12014" max="12014" width="10.5703125" style="7" customWidth="1"/>
    <col min="12015" max="12263" width="9.140625" style="7"/>
    <col min="12264" max="12264" width="4.7109375" style="7" customWidth="1"/>
    <col min="12265" max="12265" width="61" style="7" customWidth="1"/>
    <col min="12266" max="12266" width="20.42578125" style="7" customWidth="1"/>
    <col min="12267" max="12267" width="0" style="7" hidden="1" customWidth="1"/>
    <col min="12268" max="12268" width="11" style="7" customWidth="1"/>
    <col min="12269" max="12269" width="12.7109375" style="7" customWidth="1"/>
    <col min="12270" max="12270" width="10.5703125" style="7" customWidth="1"/>
    <col min="12271" max="12519" width="9.140625" style="7"/>
    <col min="12520" max="12520" width="4.7109375" style="7" customWidth="1"/>
    <col min="12521" max="12521" width="61" style="7" customWidth="1"/>
    <col min="12522" max="12522" width="20.42578125" style="7" customWidth="1"/>
    <col min="12523" max="12523" width="0" style="7" hidden="1" customWidth="1"/>
    <col min="12524" max="12524" width="11" style="7" customWidth="1"/>
    <col min="12525" max="12525" width="12.7109375" style="7" customWidth="1"/>
    <col min="12526" max="12526" width="10.5703125" style="7" customWidth="1"/>
    <col min="12527" max="12775" width="9.140625" style="7"/>
    <col min="12776" max="12776" width="4.7109375" style="7" customWidth="1"/>
    <col min="12777" max="12777" width="61" style="7" customWidth="1"/>
    <col min="12778" max="12778" width="20.42578125" style="7" customWidth="1"/>
    <col min="12779" max="12779" width="0" style="7" hidden="1" customWidth="1"/>
    <col min="12780" max="12780" width="11" style="7" customWidth="1"/>
    <col min="12781" max="12781" width="12.7109375" style="7" customWidth="1"/>
    <col min="12782" max="12782" width="10.5703125" style="7" customWidth="1"/>
    <col min="12783" max="13031" width="9.140625" style="7"/>
    <col min="13032" max="13032" width="4.7109375" style="7" customWidth="1"/>
    <col min="13033" max="13033" width="61" style="7" customWidth="1"/>
    <col min="13034" max="13034" width="20.42578125" style="7" customWidth="1"/>
    <col min="13035" max="13035" width="0" style="7" hidden="1" customWidth="1"/>
    <col min="13036" max="13036" width="11" style="7" customWidth="1"/>
    <col min="13037" max="13037" width="12.7109375" style="7" customWidth="1"/>
    <col min="13038" max="13038" width="10.5703125" style="7" customWidth="1"/>
    <col min="13039" max="13287" width="9.140625" style="7"/>
    <col min="13288" max="13288" width="4.7109375" style="7" customWidth="1"/>
    <col min="13289" max="13289" width="61" style="7" customWidth="1"/>
    <col min="13290" max="13290" width="20.42578125" style="7" customWidth="1"/>
    <col min="13291" max="13291" width="0" style="7" hidden="1" customWidth="1"/>
    <col min="13292" max="13292" width="11" style="7" customWidth="1"/>
    <col min="13293" max="13293" width="12.7109375" style="7" customWidth="1"/>
    <col min="13294" max="13294" width="10.5703125" style="7" customWidth="1"/>
    <col min="13295" max="13543" width="9.140625" style="7"/>
    <col min="13544" max="13544" width="4.7109375" style="7" customWidth="1"/>
    <col min="13545" max="13545" width="61" style="7" customWidth="1"/>
    <col min="13546" max="13546" width="20.42578125" style="7" customWidth="1"/>
    <col min="13547" max="13547" width="0" style="7" hidden="1" customWidth="1"/>
    <col min="13548" max="13548" width="11" style="7" customWidth="1"/>
    <col min="13549" max="13549" width="12.7109375" style="7" customWidth="1"/>
    <col min="13550" max="13550" width="10.5703125" style="7" customWidth="1"/>
    <col min="13551" max="13799" width="9.140625" style="7"/>
    <col min="13800" max="13800" width="4.7109375" style="7" customWidth="1"/>
    <col min="13801" max="13801" width="61" style="7" customWidth="1"/>
    <col min="13802" max="13802" width="20.42578125" style="7" customWidth="1"/>
    <col min="13803" max="13803" width="0" style="7" hidden="1" customWidth="1"/>
    <col min="13804" max="13804" width="11" style="7" customWidth="1"/>
    <col min="13805" max="13805" width="12.7109375" style="7" customWidth="1"/>
    <col min="13806" max="13806" width="10.5703125" style="7" customWidth="1"/>
    <col min="13807" max="14055" width="9.140625" style="7"/>
    <col min="14056" max="14056" width="4.7109375" style="7" customWidth="1"/>
    <col min="14057" max="14057" width="61" style="7" customWidth="1"/>
    <col min="14058" max="14058" width="20.42578125" style="7" customWidth="1"/>
    <col min="14059" max="14059" width="0" style="7" hidden="1" customWidth="1"/>
    <col min="14060" max="14060" width="11" style="7" customWidth="1"/>
    <col min="14061" max="14061" width="12.7109375" style="7" customWidth="1"/>
    <col min="14062" max="14062" width="10.5703125" style="7" customWidth="1"/>
    <col min="14063" max="14311" width="9.140625" style="7"/>
    <col min="14312" max="14312" width="4.7109375" style="7" customWidth="1"/>
    <col min="14313" max="14313" width="61" style="7" customWidth="1"/>
    <col min="14314" max="14314" width="20.42578125" style="7" customWidth="1"/>
    <col min="14315" max="14315" width="0" style="7" hidden="1" customWidth="1"/>
    <col min="14316" max="14316" width="11" style="7" customWidth="1"/>
    <col min="14317" max="14317" width="12.7109375" style="7" customWidth="1"/>
    <col min="14318" max="14318" width="10.5703125" style="7" customWidth="1"/>
    <col min="14319" max="14567" width="9.140625" style="7"/>
    <col min="14568" max="14568" width="4.7109375" style="7" customWidth="1"/>
    <col min="14569" max="14569" width="61" style="7" customWidth="1"/>
    <col min="14570" max="14570" width="20.42578125" style="7" customWidth="1"/>
    <col min="14571" max="14571" width="0" style="7" hidden="1" customWidth="1"/>
    <col min="14572" max="14572" width="11" style="7" customWidth="1"/>
    <col min="14573" max="14573" width="12.7109375" style="7" customWidth="1"/>
    <col min="14574" max="14574" width="10.5703125" style="7" customWidth="1"/>
    <col min="14575" max="14823" width="9.140625" style="7"/>
    <col min="14824" max="14824" width="4.7109375" style="7" customWidth="1"/>
    <col min="14825" max="14825" width="61" style="7" customWidth="1"/>
    <col min="14826" max="14826" width="20.42578125" style="7" customWidth="1"/>
    <col min="14827" max="14827" width="0" style="7" hidden="1" customWidth="1"/>
    <col min="14828" max="14828" width="11" style="7" customWidth="1"/>
    <col min="14829" max="14829" width="12.7109375" style="7" customWidth="1"/>
    <col min="14830" max="14830" width="10.5703125" style="7" customWidth="1"/>
    <col min="14831" max="15079" width="9.140625" style="7"/>
    <col min="15080" max="15080" width="4.7109375" style="7" customWidth="1"/>
    <col min="15081" max="15081" width="61" style="7" customWidth="1"/>
    <col min="15082" max="15082" width="20.42578125" style="7" customWidth="1"/>
    <col min="15083" max="15083" width="0" style="7" hidden="1" customWidth="1"/>
    <col min="15084" max="15084" width="11" style="7" customWidth="1"/>
    <col min="15085" max="15085" width="12.7109375" style="7" customWidth="1"/>
    <col min="15086" max="15086" width="10.5703125" style="7" customWidth="1"/>
    <col min="15087" max="15335" width="9.140625" style="7"/>
    <col min="15336" max="15336" width="4.7109375" style="7" customWidth="1"/>
    <col min="15337" max="15337" width="61" style="7" customWidth="1"/>
    <col min="15338" max="15338" width="20.42578125" style="7" customWidth="1"/>
    <col min="15339" max="15339" width="0" style="7" hidden="1" customWidth="1"/>
    <col min="15340" max="15340" width="11" style="7" customWidth="1"/>
    <col min="15341" max="15341" width="12.7109375" style="7" customWidth="1"/>
    <col min="15342" max="15342" width="10.5703125" style="7" customWidth="1"/>
    <col min="15343" max="15591" width="9.140625" style="7"/>
    <col min="15592" max="15592" width="4.7109375" style="7" customWidth="1"/>
    <col min="15593" max="15593" width="61" style="7" customWidth="1"/>
    <col min="15594" max="15594" width="20.42578125" style="7" customWidth="1"/>
    <col min="15595" max="15595" width="0" style="7" hidden="1" customWidth="1"/>
    <col min="15596" max="15596" width="11" style="7" customWidth="1"/>
    <col min="15597" max="15597" width="12.7109375" style="7" customWidth="1"/>
    <col min="15598" max="15598" width="10.5703125" style="7" customWidth="1"/>
    <col min="15599" max="15847" width="9.140625" style="7"/>
    <col min="15848" max="15848" width="4.7109375" style="7" customWidth="1"/>
    <col min="15849" max="15849" width="61" style="7" customWidth="1"/>
    <col min="15850" max="15850" width="20.42578125" style="7" customWidth="1"/>
    <col min="15851" max="15851" width="0" style="7" hidden="1" customWidth="1"/>
    <col min="15852" max="15852" width="11" style="7" customWidth="1"/>
    <col min="15853" max="15853" width="12.7109375" style="7" customWidth="1"/>
    <col min="15854" max="15854" width="10.5703125" style="7" customWidth="1"/>
    <col min="15855" max="16103" width="9.140625" style="7"/>
    <col min="16104" max="16104" width="4.7109375" style="7" customWidth="1"/>
    <col min="16105" max="16105" width="61" style="7" customWidth="1"/>
    <col min="16106" max="16106" width="20.42578125" style="7" customWidth="1"/>
    <col min="16107" max="16107" width="0" style="7" hidden="1" customWidth="1"/>
    <col min="16108" max="16108" width="11" style="7" customWidth="1"/>
    <col min="16109" max="16109" width="12.7109375" style="7" customWidth="1"/>
    <col min="16110" max="16110" width="10.5703125" style="7" customWidth="1"/>
    <col min="16111" max="16384" width="9.140625" style="7"/>
  </cols>
  <sheetData>
    <row r="1" spans="1:5" ht="11.1" customHeight="1" x14ac:dyDescent="0.2">
      <c r="A1" s="229" t="s">
        <v>241</v>
      </c>
      <c r="B1" s="229"/>
    </row>
    <row r="2" spans="1:5" ht="11.1" customHeight="1" x14ac:dyDescent="0.2">
      <c r="A2" s="229" t="s">
        <v>534</v>
      </c>
      <c r="B2" s="229"/>
    </row>
    <row r="3" spans="1:5" ht="11.1" customHeight="1" x14ac:dyDescent="0.2">
      <c r="A3" s="233" t="s">
        <v>242</v>
      </c>
      <c r="B3" s="233"/>
    </row>
    <row r="4" spans="1:5" ht="11.1" customHeight="1" x14ac:dyDescent="0.2">
      <c r="A4" s="229" t="s">
        <v>243</v>
      </c>
      <c r="B4" s="229"/>
    </row>
    <row r="5" spans="1:5" ht="6" customHeight="1" thickBot="1" x14ac:dyDescent="0.25">
      <c r="A5" s="17"/>
      <c r="B5" s="18"/>
    </row>
    <row r="6" spans="1:5" ht="32.25" customHeight="1" x14ac:dyDescent="0.2">
      <c r="A6" s="234"/>
      <c r="B6" s="236" t="s">
        <v>244</v>
      </c>
      <c r="C6" s="31" t="s">
        <v>514</v>
      </c>
      <c r="D6" s="220" t="s">
        <v>533</v>
      </c>
    </row>
    <row r="7" spans="1:5" ht="19.5" customHeight="1" x14ac:dyDescent="0.2">
      <c r="A7" s="235"/>
      <c r="B7" s="237"/>
      <c r="C7" s="5"/>
      <c r="D7" s="221"/>
    </row>
    <row r="8" spans="1:5" ht="11.1" customHeight="1" x14ac:dyDescent="0.2">
      <c r="A8" s="2">
        <v>1</v>
      </c>
      <c r="B8" s="20" t="s">
        <v>479</v>
      </c>
      <c r="C8" s="32">
        <v>46197597.130000003</v>
      </c>
      <c r="D8" s="32">
        <v>68709596.560000002</v>
      </c>
    </row>
    <row r="9" spans="1:5" ht="11.1" customHeight="1" x14ac:dyDescent="0.2">
      <c r="A9" s="2">
        <v>2</v>
      </c>
      <c r="B9" s="21" t="s">
        <v>314</v>
      </c>
      <c r="C9" s="10">
        <f>SUM(C10:C13)</f>
        <v>276939497.17000002</v>
      </c>
      <c r="D9" s="10">
        <f>SUM(D10:D13)</f>
        <v>398512296.48000002</v>
      </c>
    </row>
    <row r="10" spans="1:5" ht="11.1" customHeight="1" x14ac:dyDescent="0.2">
      <c r="A10" s="119"/>
      <c r="B10" s="22" t="s">
        <v>1</v>
      </c>
      <c r="C10" s="94">
        <v>246377960.49000001</v>
      </c>
      <c r="D10" s="32">
        <v>350295417.75999999</v>
      </c>
    </row>
    <row r="11" spans="1:5" ht="11.1" customHeight="1" x14ac:dyDescent="0.2">
      <c r="A11" s="119"/>
      <c r="B11" s="22" t="s">
        <v>2</v>
      </c>
      <c r="C11" s="116">
        <v>25663773.100000001</v>
      </c>
      <c r="D11" s="32">
        <v>40670737.350000001</v>
      </c>
    </row>
    <row r="12" spans="1:5" ht="11.1" customHeight="1" x14ac:dyDescent="0.2">
      <c r="A12" s="119"/>
      <c r="B12" s="22" t="s">
        <v>380</v>
      </c>
      <c r="C12" s="116">
        <v>4676882.68</v>
      </c>
      <c r="D12" s="32">
        <v>7255065.6699999999</v>
      </c>
    </row>
    <row r="13" spans="1:5" ht="11.1" customHeight="1" x14ac:dyDescent="0.2">
      <c r="A13" s="119"/>
      <c r="B13" s="22" t="s">
        <v>82</v>
      </c>
      <c r="C13" s="116">
        <v>220880.9</v>
      </c>
      <c r="D13" s="32">
        <v>291075.7</v>
      </c>
    </row>
    <row r="14" spans="1:5" ht="11.1" customHeight="1" x14ac:dyDescent="0.2">
      <c r="A14" s="2">
        <v>3</v>
      </c>
      <c r="B14" s="20" t="s">
        <v>245</v>
      </c>
      <c r="C14" s="10">
        <f>SUM(C15:C19)</f>
        <v>70374369.13000001</v>
      </c>
      <c r="D14" s="10">
        <f>SUM(D15:D19)</f>
        <v>99253303.540000007</v>
      </c>
    </row>
    <row r="15" spans="1:5" ht="11.1" customHeight="1" x14ac:dyDescent="0.2">
      <c r="A15" s="119"/>
      <c r="B15" s="23" t="s">
        <v>246</v>
      </c>
      <c r="C15" s="116">
        <v>691566.6</v>
      </c>
      <c r="D15" s="32">
        <v>906531.4</v>
      </c>
      <c r="E15" s="116"/>
    </row>
    <row r="16" spans="1:5" ht="11.1" customHeight="1" x14ac:dyDescent="0.2">
      <c r="A16" s="119"/>
      <c r="B16" s="23" t="s">
        <v>247</v>
      </c>
      <c r="C16" s="5"/>
      <c r="D16" s="5"/>
    </row>
    <row r="17" spans="1:5" ht="11.1" customHeight="1" x14ac:dyDescent="0.2">
      <c r="A17" s="119"/>
      <c r="B17" s="23" t="s">
        <v>248</v>
      </c>
      <c r="C17" s="82">
        <v>5950000</v>
      </c>
      <c r="D17" s="32">
        <v>9504540.3599999994</v>
      </c>
    </row>
    <row r="18" spans="1:5" ht="11.1" customHeight="1" x14ac:dyDescent="0.2">
      <c r="A18" s="119"/>
      <c r="B18" s="23" t="s">
        <v>249</v>
      </c>
      <c r="C18" s="82">
        <v>63513927.380000003</v>
      </c>
      <c r="D18" s="32">
        <v>88518039.390000001</v>
      </c>
    </row>
    <row r="19" spans="1:5" ht="11.1" customHeight="1" x14ac:dyDescent="0.2">
      <c r="A19" s="119"/>
      <c r="B19" s="23" t="s">
        <v>250</v>
      </c>
      <c r="C19" s="32">
        <v>218875.15</v>
      </c>
      <c r="D19" s="32">
        <v>324192.39</v>
      </c>
    </row>
    <row r="20" spans="1:5" ht="11.1" customHeight="1" x14ac:dyDescent="0.2">
      <c r="A20" s="2">
        <v>4</v>
      </c>
      <c r="B20" s="20" t="s">
        <v>251</v>
      </c>
      <c r="C20" s="10">
        <f>SUM(C21:C37)</f>
        <v>67355544.450000003</v>
      </c>
      <c r="D20" s="10">
        <f>SUM(D21:D37)</f>
        <v>103815474.40000001</v>
      </c>
    </row>
    <row r="21" spans="1:5" ht="11.1" customHeight="1" x14ac:dyDescent="0.2">
      <c r="A21" s="2"/>
      <c r="B21" s="23" t="s">
        <v>252</v>
      </c>
      <c r="C21" s="32">
        <v>3716014.1</v>
      </c>
      <c r="D21" s="32">
        <f>7869191.8+142182.21</f>
        <v>8011374.0099999998</v>
      </c>
      <c r="E21" s="32"/>
    </row>
    <row r="22" spans="1:5" ht="11.1" customHeight="1" x14ac:dyDescent="0.2">
      <c r="A22" s="3"/>
      <c r="B22" s="23" t="s">
        <v>253</v>
      </c>
      <c r="C22" s="82">
        <v>914907.98</v>
      </c>
      <c r="D22" s="32">
        <v>2206525.21</v>
      </c>
    </row>
    <row r="23" spans="1:5" ht="11.1" customHeight="1" x14ac:dyDescent="0.2">
      <c r="A23" s="3"/>
      <c r="B23" s="23" t="s">
        <v>254</v>
      </c>
      <c r="C23" s="82">
        <v>110548.52</v>
      </c>
      <c r="D23" s="32">
        <v>110548.52</v>
      </c>
    </row>
    <row r="24" spans="1:5" ht="11.1" customHeight="1" x14ac:dyDescent="0.2">
      <c r="A24" s="3"/>
      <c r="B24" s="23" t="s">
        <v>255</v>
      </c>
      <c r="C24" s="82">
        <v>15913.43</v>
      </c>
      <c r="D24" s="32">
        <v>20684.14</v>
      </c>
    </row>
    <row r="25" spans="1:5" ht="11.1" customHeight="1" x14ac:dyDescent="0.2">
      <c r="A25" s="3"/>
      <c r="B25" s="23" t="s">
        <v>256</v>
      </c>
      <c r="C25" s="82">
        <v>874878.3</v>
      </c>
      <c r="D25" s="32">
        <v>1430708.96</v>
      </c>
    </row>
    <row r="26" spans="1:5" ht="11.1" customHeight="1" x14ac:dyDescent="0.2">
      <c r="A26" s="3"/>
      <c r="B26" s="23" t="s">
        <v>257</v>
      </c>
      <c r="C26" s="5"/>
      <c r="D26" s="5"/>
    </row>
    <row r="27" spans="1:5" ht="11.1" customHeight="1" x14ac:dyDescent="0.2">
      <c r="A27" s="3"/>
      <c r="B27" s="23" t="s">
        <v>258</v>
      </c>
      <c r="C27" s="5"/>
      <c r="D27" s="32">
        <v>504324.35</v>
      </c>
    </row>
    <row r="28" spans="1:5" ht="11.1" customHeight="1" x14ac:dyDescent="0.2">
      <c r="A28" s="3"/>
      <c r="B28" s="23" t="s">
        <v>259</v>
      </c>
      <c r="C28" s="32">
        <v>3019539.49</v>
      </c>
      <c r="D28" s="32">
        <v>4250462.51</v>
      </c>
    </row>
    <row r="29" spans="1:5" ht="11.1" customHeight="1" x14ac:dyDescent="0.2">
      <c r="A29" s="3"/>
      <c r="B29" s="23" t="s">
        <v>260</v>
      </c>
      <c r="C29" s="82">
        <v>21179298.210000001</v>
      </c>
      <c r="D29" s="32">
        <v>29212850.010000002</v>
      </c>
    </row>
    <row r="30" spans="1:5" ht="11.1" customHeight="1" x14ac:dyDescent="0.2">
      <c r="A30" s="3"/>
      <c r="B30" s="23" t="s">
        <v>261</v>
      </c>
      <c r="C30" s="82">
        <v>1242117.3400000001</v>
      </c>
      <c r="D30" s="32">
        <v>1558860.04</v>
      </c>
    </row>
    <row r="31" spans="1:5" ht="11.1" customHeight="1" x14ac:dyDescent="0.2">
      <c r="A31" s="3"/>
      <c r="B31" s="23" t="s">
        <v>262</v>
      </c>
      <c r="C31" s="82">
        <v>1523578.53</v>
      </c>
      <c r="D31" s="32">
        <v>5257711.5599999996</v>
      </c>
    </row>
    <row r="32" spans="1:5" ht="11.1" customHeight="1" x14ac:dyDescent="0.2">
      <c r="A32" s="3"/>
      <c r="B32" s="23" t="s">
        <v>263</v>
      </c>
      <c r="C32" s="82">
        <v>4251050.05</v>
      </c>
      <c r="D32" s="32">
        <v>6473861.8799999999</v>
      </c>
    </row>
    <row r="33" spans="1:5" ht="11.1" customHeight="1" x14ac:dyDescent="0.2">
      <c r="A33" s="119"/>
      <c r="B33" s="23" t="s">
        <v>264</v>
      </c>
      <c r="C33" s="82">
        <v>9880761</v>
      </c>
      <c r="D33" s="32">
        <v>13474399.75</v>
      </c>
    </row>
    <row r="34" spans="1:5" ht="11.1" customHeight="1" x14ac:dyDescent="0.2">
      <c r="A34" s="119"/>
      <c r="B34" s="23" t="s">
        <v>265</v>
      </c>
      <c r="C34" s="82">
        <v>511111.12</v>
      </c>
      <c r="D34" s="32">
        <v>634224.86</v>
      </c>
    </row>
    <row r="35" spans="1:5" ht="11.1" customHeight="1" x14ac:dyDescent="0.2">
      <c r="A35" s="119"/>
      <c r="B35" s="23" t="s">
        <v>266</v>
      </c>
      <c r="C35" s="32">
        <v>8325426.3700000001</v>
      </c>
      <c r="D35" s="32">
        <v>15344604.82</v>
      </c>
    </row>
    <row r="36" spans="1:5" ht="11.1" customHeight="1" x14ac:dyDescent="0.2">
      <c r="A36" s="3"/>
      <c r="B36" s="33" t="s">
        <v>423</v>
      </c>
      <c r="C36" s="32">
        <v>11376143.710000001</v>
      </c>
      <c r="D36" s="32">
        <v>14150004.779999999</v>
      </c>
    </row>
    <row r="37" spans="1:5" ht="11.1" customHeight="1" x14ac:dyDescent="0.2">
      <c r="A37" s="119"/>
      <c r="B37" s="33" t="s">
        <v>278</v>
      </c>
      <c r="C37" s="82">
        <v>414256.3</v>
      </c>
      <c r="D37" s="32">
        <v>1174329</v>
      </c>
    </row>
    <row r="38" spans="1:5" ht="11.1" customHeight="1" x14ac:dyDescent="0.2">
      <c r="A38" s="2">
        <v>5</v>
      </c>
      <c r="B38" s="20" t="s">
        <v>267</v>
      </c>
      <c r="C38" s="10">
        <f>SUM(C39:C44)</f>
        <v>7840476.0800000001</v>
      </c>
      <c r="D38" s="10">
        <f>SUM(D39:D44)</f>
        <v>13925289.960000001</v>
      </c>
    </row>
    <row r="39" spans="1:5" ht="11.1" customHeight="1" x14ac:dyDescent="0.2">
      <c r="A39" s="2"/>
      <c r="B39" s="23" t="s">
        <v>421</v>
      </c>
      <c r="C39" s="32">
        <v>28338.12</v>
      </c>
      <c r="D39" s="32">
        <v>28338.12</v>
      </c>
    </row>
    <row r="40" spans="1:5" ht="11.1" customHeight="1" x14ac:dyDescent="0.2">
      <c r="A40" s="119"/>
      <c r="B40" s="23" t="s">
        <v>537</v>
      </c>
      <c r="C40" s="5"/>
      <c r="D40" s="32">
        <f>282716.56+8430</f>
        <v>291146.56</v>
      </c>
      <c r="E40" s="120"/>
    </row>
    <row r="41" spans="1:5" ht="11.1" customHeight="1" x14ac:dyDescent="0.2">
      <c r="A41" s="119"/>
      <c r="B41" s="23" t="s">
        <v>538</v>
      </c>
      <c r="C41" s="82">
        <v>462851.62</v>
      </c>
      <c r="D41" s="32">
        <f>901940.06+24166</f>
        <v>926106.06</v>
      </c>
    </row>
    <row r="42" spans="1:5" ht="11.1" customHeight="1" x14ac:dyDescent="0.2">
      <c r="A42" s="119"/>
      <c r="B42" s="23" t="s">
        <v>269</v>
      </c>
      <c r="C42" s="5"/>
      <c r="D42" s="32">
        <v>1289337.31</v>
      </c>
    </row>
    <row r="43" spans="1:5" ht="11.1" customHeight="1" x14ac:dyDescent="0.2">
      <c r="A43" s="119"/>
      <c r="B43" s="23" t="s">
        <v>270</v>
      </c>
      <c r="C43" s="5"/>
      <c r="D43" s="32">
        <v>321790</v>
      </c>
    </row>
    <row r="44" spans="1:5" ht="11.1" customHeight="1" x14ac:dyDescent="0.2">
      <c r="A44" s="119"/>
      <c r="B44" s="23" t="s">
        <v>6</v>
      </c>
      <c r="C44" s="32">
        <v>7349286.3399999999</v>
      </c>
      <c r="D44" s="32">
        <v>11068571.91</v>
      </c>
    </row>
    <row r="45" spans="1:5" ht="11.1" customHeight="1" x14ac:dyDescent="0.2">
      <c r="A45" s="2">
        <v>6</v>
      </c>
      <c r="B45" s="20" t="s">
        <v>271</v>
      </c>
      <c r="C45" s="10">
        <f>C46+C49+C50</f>
        <v>15508504.489999998</v>
      </c>
      <c r="D45" s="10">
        <f>D46+D47+D48+D49+D50</f>
        <v>23129395.220000003</v>
      </c>
    </row>
    <row r="46" spans="1:5" ht="11.1" customHeight="1" x14ac:dyDescent="0.2">
      <c r="A46" s="2"/>
      <c r="B46" s="23" t="s">
        <v>272</v>
      </c>
      <c r="C46" s="32">
        <v>13172474.189999999</v>
      </c>
      <c r="D46" s="32">
        <v>19639077.620000001</v>
      </c>
    </row>
    <row r="47" spans="1:5" ht="11.1" customHeight="1" x14ac:dyDescent="0.2">
      <c r="A47" s="119"/>
      <c r="B47" s="23" t="s">
        <v>327</v>
      </c>
      <c r="C47" s="5"/>
      <c r="D47" s="34">
        <v>735.93</v>
      </c>
    </row>
    <row r="48" spans="1:5" ht="11.1" customHeight="1" x14ac:dyDescent="0.2">
      <c r="A48" s="119"/>
      <c r="B48" s="23" t="s">
        <v>326</v>
      </c>
      <c r="C48" s="5"/>
      <c r="D48" s="5"/>
    </row>
    <row r="49" spans="1:4" ht="11.1" customHeight="1" x14ac:dyDescent="0.2">
      <c r="A49" s="119"/>
      <c r="B49" s="23" t="s">
        <v>273</v>
      </c>
      <c r="C49" s="82">
        <v>2309049.27</v>
      </c>
      <c r="D49" s="32">
        <v>3462600.64</v>
      </c>
    </row>
    <row r="50" spans="1:4" ht="11.1" customHeight="1" x14ac:dyDescent="0.2">
      <c r="A50" s="119"/>
      <c r="B50" s="23" t="s">
        <v>274</v>
      </c>
      <c r="C50" s="32">
        <v>26981.03</v>
      </c>
      <c r="D50" s="32">
        <v>26981.03</v>
      </c>
    </row>
    <row r="51" spans="1:4" ht="13.5" customHeight="1" x14ac:dyDescent="0.2">
      <c r="A51" s="2">
        <v>7</v>
      </c>
      <c r="B51" s="20" t="s">
        <v>444</v>
      </c>
      <c r="C51" s="62">
        <f>C53+C54+C52</f>
        <v>238071.24</v>
      </c>
      <c r="D51" s="62">
        <f>D52+D53+D54</f>
        <v>662609.15999999992</v>
      </c>
    </row>
    <row r="52" spans="1:4" ht="11.1" customHeight="1" x14ac:dyDescent="0.2">
      <c r="A52" s="3"/>
      <c r="B52" s="23" t="s">
        <v>382</v>
      </c>
      <c r="C52" s="82">
        <v>135688.5</v>
      </c>
      <c r="D52" s="32">
        <v>314494.19</v>
      </c>
    </row>
    <row r="53" spans="1:4" ht="11.1" customHeight="1" x14ac:dyDescent="0.2">
      <c r="A53" s="3"/>
      <c r="B53" s="23" t="s">
        <v>294</v>
      </c>
      <c r="C53" s="82">
        <v>23722.74</v>
      </c>
      <c r="D53" s="32">
        <v>23722.74</v>
      </c>
    </row>
    <row r="54" spans="1:4" ht="11.1" customHeight="1" x14ac:dyDescent="0.2">
      <c r="A54" s="3"/>
      <c r="B54" s="23" t="s">
        <v>383</v>
      </c>
      <c r="C54" s="82">
        <v>78660</v>
      </c>
      <c r="D54" s="32">
        <v>324392.23</v>
      </c>
    </row>
    <row r="55" spans="1:4" ht="35.25" customHeight="1" x14ac:dyDescent="0.2">
      <c r="A55" s="2">
        <v>8</v>
      </c>
      <c r="B55" s="20" t="s">
        <v>275</v>
      </c>
      <c r="C55" s="10">
        <f>C56+C57+C58+C59+C60+C61+C62+C63+C64+C65+C66+C67+C68+C69+C70+C71+C73+C75+C76+C79+C80+C81+C82+C83+C86+C87</f>
        <v>51294453.230000004</v>
      </c>
      <c r="D55" s="10">
        <f>D56+D57+D58+D59+D60+D61+D62+D63+D64+D65+D66+D67+D68+D69+D70+D71+D72+D73+D74+D75+D76+D77+D78+D79+D80+D81+D82+D83+D84+D85+D86+D87</f>
        <v>81552091.149999991</v>
      </c>
    </row>
    <row r="56" spans="1:4" ht="19.5" customHeight="1" x14ac:dyDescent="0.2">
      <c r="A56" s="2"/>
      <c r="B56" s="23" t="s">
        <v>376</v>
      </c>
      <c r="C56" s="32">
        <v>826565.55</v>
      </c>
      <c r="D56" s="32">
        <v>895057.29</v>
      </c>
    </row>
    <row r="57" spans="1:4" ht="11.1" customHeight="1" x14ac:dyDescent="0.2">
      <c r="A57" s="2"/>
      <c r="B57" s="23" t="s">
        <v>8</v>
      </c>
      <c r="C57" s="32">
        <v>872172.65</v>
      </c>
      <c r="D57" s="32">
        <v>1167931.76</v>
      </c>
    </row>
    <row r="58" spans="1:4" ht="11.1" customHeight="1" x14ac:dyDescent="0.2">
      <c r="A58" s="2"/>
      <c r="B58" s="23" t="s">
        <v>407</v>
      </c>
      <c r="C58" s="82">
        <v>792640.18</v>
      </c>
      <c r="D58" s="32">
        <v>1329700.3899999999</v>
      </c>
    </row>
    <row r="59" spans="1:4" ht="11.1" customHeight="1" x14ac:dyDescent="0.2">
      <c r="A59" s="2"/>
      <c r="B59" s="23" t="s">
        <v>141</v>
      </c>
      <c r="C59" s="82">
        <v>222324.97</v>
      </c>
      <c r="D59" s="32">
        <v>620298.18999999994</v>
      </c>
    </row>
    <row r="60" spans="1:4" ht="11.1" customHeight="1" x14ac:dyDescent="0.2">
      <c r="A60" s="2"/>
      <c r="B60" s="23" t="s">
        <v>283</v>
      </c>
      <c r="C60" s="32">
        <v>26676.34</v>
      </c>
      <c r="D60" s="32">
        <v>26676.34</v>
      </c>
    </row>
    <row r="61" spans="1:4" ht="11.1" customHeight="1" x14ac:dyDescent="0.2">
      <c r="A61" s="2"/>
      <c r="B61" s="23" t="s">
        <v>449</v>
      </c>
      <c r="C61" s="82">
        <v>424000</v>
      </c>
      <c r="D61" s="32">
        <v>777000</v>
      </c>
    </row>
    <row r="62" spans="1:4" ht="11.1" customHeight="1" x14ac:dyDescent="0.2">
      <c r="A62" s="2"/>
      <c r="B62" s="23" t="s">
        <v>104</v>
      </c>
      <c r="C62" s="32">
        <v>21535374</v>
      </c>
      <c r="D62" s="32">
        <v>31938058</v>
      </c>
    </row>
    <row r="63" spans="1:4" ht="11.1" customHeight="1" x14ac:dyDescent="0.2">
      <c r="A63" s="2"/>
      <c r="B63" s="23" t="s">
        <v>528</v>
      </c>
      <c r="C63" s="32">
        <v>2457114</v>
      </c>
      <c r="D63" s="32">
        <v>2457114</v>
      </c>
    </row>
    <row r="64" spans="1:4" ht="11.1" customHeight="1" x14ac:dyDescent="0.2">
      <c r="A64" s="2"/>
      <c r="B64" s="93" t="s">
        <v>404</v>
      </c>
      <c r="C64" s="94">
        <v>47265</v>
      </c>
      <c r="D64" s="32">
        <v>348291.99</v>
      </c>
    </row>
    <row r="65" spans="1:5" ht="11.1" customHeight="1" x14ac:dyDescent="0.2">
      <c r="A65" s="2"/>
      <c r="B65" s="93" t="s">
        <v>276</v>
      </c>
      <c r="C65" s="94">
        <v>318504</v>
      </c>
      <c r="D65" s="32">
        <v>616953.67000000004</v>
      </c>
    </row>
    <row r="66" spans="1:5" ht="11.1" customHeight="1" x14ac:dyDescent="0.2">
      <c r="A66" s="2"/>
      <c r="B66" s="23" t="s">
        <v>454</v>
      </c>
      <c r="C66" s="82">
        <v>719179.59</v>
      </c>
      <c r="D66" s="32">
        <v>1193387.3799999999</v>
      </c>
    </row>
    <row r="67" spans="1:5" ht="11.1" customHeight="1" x14ac:dyDescent="0.2">
      <c r="A67" s="2"/>
      <c r="B67" s="23" t="s">
        <v>455</v>
      </c>
      <c r="C67" s="82">
        <v>651199.54</v>
      </c>
      <c r="D67" s="32">
        <v>977597.65</v>
      </c>
    </row>
    <row r="68" spans="1:5" ht="11.1" customHeight="1" x14ac:dyDescent="0.2">
      <c r="A68" s="2"/>
      <c r="B68" s="23" t="s">
        <v>539</v>
      </c>
      <c r="C68" s="82">
        <v>196650</v>
      </c>
      <c r="D68" s="32">
        <f>196650+188092.13</f>
        <v>384742.13</v>
      </c>
      <c r="E68" s="32"/>
    </row>
    <row r="69" spans="1:5" ht="11.1" customHeight="1" x14ac:dyDescent="0.2">
      <c r="A69" s="3"/>
      <c r="B69" s="23" t="s">
        <v>403</v>
      </c>
      <c r="C69" s="82">
        <v>80490</v>
      </c>
      <c r="D69" s="32">
        <v>80490</v>
      </c>
    </row>
    <row r="70" spans="1:5" ht="11.1" customHeight="1" x14ac:dyDescent="0.2">
      <c r="A70" s="3"/>
      <c r="B70" s="23" t="s">
        <v>381</v>
      </c>
      <c r="C70" s="82">
        <v>450744.26</v>
      </c>
      <c r="D70" s="32">
        <v>591409.27</v>
      </c>
    </row>
    <row r="71" spans="1:5" ht="11.1" customHeight="1" x14ac:dyDescent="0.2">
      <c r="A71" s="3"/>
      <c r="B71" s="23" t="s">
        <v>405</v>
      </c>
      <c r="C71" s="82">
        <v>37620</v>
      </c>
      <c r="D71" s="32">
        <v>57912</v>
      </c>
    </row>
    <row r="72" spans="1:5" ht="11.1" customHeight="1" x14ac:dyDescent="0.2">
      <c r="A72" s="3"/>
      <c r="B72" s="23" t="s">
        <v>282</v>
      </c>
      <c r="C72" s="5"/>
      <c r="D72" s="122">
        <v>16104.9</v>
      </c>
    </row>
    <row r="73" spans="1:5" ht="11.1" customHeight="1" x14ac:dyDescent="0.2">
      <c r="A73" s="3"/>
      <c r="B73" s="23" t="s">
        <v>456</v>
      </c>
      <c r="C73" s="87">
        <v>310885.96999999997</v>
      </c>
      <c r="D73" s="32">
        <v>384163.9</v>
      </c>
    </row>
    <row r="74" spans="1:5" ht="11.1" customHeight="1" x14ac:dyDescent="0.2">
      <c r="A74" s="3"/>
      <c r="B74" s="23" t="s">
        <v>123</v>
      </c>
    </row>
    <row r="75" spans="1:5" ht="11.1" customHeight="1" x14ac:dyDescent="0.2">
      <c r="A75" s="119"/>
      <c r="B75" s="23" t="s">
        <v>325</v>
      </c>
      <c r="C75" s="82">
        <v>632729.5</v>
      </c>
      <c r="D75" s="32">
        <v>2431086.34</v>
      </c>
    </row>
    <row r="76" spans="1:5" ht="11.1" customHeight="1" x14ac:dyDescent="0.2">
      <c r="A76" s="119"/>
      <c r="B76" s="23" t="s">
        <v>535</v>
      </c>
      <c r="C76" s="82">
        <v>394000</v>
      </c>
      <c r="D76" s="32">
        <f>[1]TDSheet!F86+[1]TDSheet!F87</f>
        <v>475733.93</v>
      </c>
    </row>
    <row r="77" spans="1:5" ht="11.1" customHeight="1" x14ac:dyDescent="0.2">
      <c r="A77" s="2"/>
      <c r="B77" s="23" t="s">
        <v>540</v>
      </c>
      <c r="C77" s="5"/>
      <c r="D77" s="32">
        <v>50160</v>
      </c>
    </row>
    <row r="78" spans="1:5" ht="11.1" customHeight="1" x14ac:dyDescent="0.2">
      <c r="A78" s="2"/>
      <c r="B78" s="23" t="s">
        <v>284</v>
      </c>
      <c r="C78" s="5"/>
      <c r="D78" s="5"/>
    </row>
    <row r="79" spans="1:5" ht="11.1" customHeight="1" x14ac:dyDescent="0.2">
      <c r="A79" s="2"/>
      <c r="B79" s="23" t="s">
        <v>126</v>
      </c>
      <c r="C79" s="82">
        <v>115459.5</v>
      </c>
      <c r="D79" s="32">
        <v>209709</v>
      </c>
    </row>
    <row r="80" spans="1:5" ht="11.1" customHeight="1" x14ac:dyDescent="0.2">
      <c r="A80" s="46" t="s">
        <v>482</v>
      </c>
      <c r="B80" s="24" t="s">
        <v>157</v>
      </c>
      <c r="C80" s="64">
        <v>12445471.539999999</v>
      </c>
      <c r="D80" s="64">
        <v>19507864.09</v>
      </c>
      <c r="E80" s="9">
        <f>D80+D81+D82+D83+D84+D85+D86</f>
        <v>32116602.02</v>
      </c>
    </row>
    <row r="81" spans="1:4" ht="11.1" customHeight="1" x14ac:dyDescent="0.2">
      <c r="A81" s="45" t="s">
        <v>482</v>
      </c>
      <c r="B81" s="24" t="s">
        <v>279</v>
      </c>
      <c r="C81" s="64">
        <v>4074367.37</v>
      </c>
      <c r="D81" s="64">
        <v>7949091.3099999996</v>
      </c>
    </row>
    <row r="82" spans="1:4" ht="11.1" customHeight="1" x14ac:dyDescent="0.2">
      <c r="A82" s="2" t="s">
        <v>482</v>
      </c>
      <c r="B82" s="24" t="s">
        <v>280</v>
      </c>
      <c r="C82" s="64">
        <v>1147872.27</v>
      </c>
      <c r="D82" s="64">
        <v>3787138.1</v>
      </c>
    </row>
    <row r="83" spans="1:4" ht="11.1" customHeight="1" x14ac:dyDescent="0.2">
      <c r="A83" s="2" t="s">
        <v>482</v>
      </c>
      <c r="B83" s="24" t="s">
        <v>447</v>
      </c>
      <c r="C83" s="64">
        <v>53136</v>
      </c>
      <c r="D83" s="64">
        <v>53136</v>
      </c>
    </row>
    <row r="84" spans="1:4" ht="11.1" customHeight="1" x14ac:dyDescent="0.2">
      <c r="A84" s="2"/>
      <c r="B84" s="24" t="s">
        <v>536</v>
      </c>
      <c r="C84" s="65"/>
      <c r="D84" s="121">
        <v>713682.53</v>
      </c>
    </row>
    <row r="85" spans="1:4" ht="11.1" customHeight="1" x14ac:dyDescent="0.2">
      <c r="A85" s="2"/>
      <c r="B85" s="24" t="s">
        <v>304</v>
      </c>
      <c r="C85" s="65"/>
      <c r="D85" s="75">
        <v>-0.01</v>
      </c>
    </row>
    <row r="86" spans="1:4" ht="11.1" customHeight="1" x14ac:dyDescent="0.2">
      <c r="A86" s="2"/>
      <c r="B86" s="24" t="s">
        <v>458</v>
      </c>
      <c r="C86" s="64">
        <v>56100</v>
      </c>
      <c r="D86" s="64">
        <v>105690</v>
      </c>
    </row>
    <row r="87" spans="1:4" ht="11.1" customHeight="1" x14ac:dyDescent="0.2">
      <c r="A87" s="2"/>
      <c r="B87" s="23" t="s">
        <v>107</v>
      </c>
      <c r="C87" s="32">
        <v>2405911</v>
      </c>
      <c r="D87" s="32">
        <v>2405911</v>
      </c>
    </row>
    <row r="88" spans="1:4" ht="11.1" customHeight="1" x14ac:dyDescent="0.2">
      <c r="A88" s="2">
        <v>8</v>
      </c>
      <c r="B88" s="20" t="s">
        <v>406</v>
      </c>
      <c r="C88" s="84">
        <f>C89+C90</f>
        <v>1865825.5</v>
      </c>
      <c r="D88" s="84">
        <f>D89+D90</f>
        <v>3105671.56</v>
      </c>
    </row>
    <row r="89" spans="1:4" ht="11.1" customHeight="1" x14ac:dyDescent="0.2">
      <c r="A89" s="2"/>
      <c r="B89" s="23" t="s">
        <v>520</v>
      </c>
      <c r="C89" s="32">
        <v>1693925.5</v>
      </c>
      <c r="D89" s="32">
        <v>2933771.56</v>
      </c>
    </row>
    <row r="90" spans="1:4" ht="11.1" customHeight="1" x14ac:dyDescent="0.2">
      <c r="A90" s="2"/>
      <c r="B90" s="23" t="s">
        <v>521</v>
      </c>
      <c r="C90" s="32">
        <v>171900</v>
      </c>
      <c r="D90" s="32">
        <v>171900</v>
      </c>
    </row>
    <row r="91" spans="1:4" ht="11.1" customHeight="1" x14ac:dyDescent="0.2">
      <c r="A91" s="2">
        <v>9</v>
      </c>
      <c r="B91" s="20" t="s">
        <v>288</v>
      </c>
      <c r="C91" s="10">
        <f>C92+C93+C94</f>
        <v>389844.12</v>
      </c>
      <c r="D91" s="10">
        <f>D92+D93+D94</f>
        <v>581179.55999999994</v>
      </c>
    </row>
    <row r="92" spans="1:4" ht="11.1" customHeight="1" x14ac:dyDescent="0.2">
      <c r="A92" s="2"/>
      <c r="B92" s="23" t="s">
        <v>515</v>
      </c>
      <c r="C92" s="32">
        <v>124981.29</v>
      </c>
      <c r="D92" s="32">
        <v>185803.34</v>
      </c>
    </row>
    <row r="93" spans="1:4" ht="11.1" customHeight="1" x14ac:dyDescent="0.2">
      <c r="A93" s="2"/>
      <c r="B93" s="23" t="s">
        <v>290</v>
      </c>
      <c r="C93" s="32">
        <v>264200.88</v>
      </c>
      <c r="D93" s="32">
        <v>394714.27</v>
      </c>
    </row>
    <row r="94" spans="1:4" ht="11.1" customHeight="1" x14ac:dyDescent="0.2">
      <c r="A94" s="2"/>
      <c r="B94" s="23" t="s">
        <v>516</v>
      </c>
      <c r="C94" s="34">
        <v>661.95</v>
      </c>
      <c r="D94" s="34">
        <v>661.95</v>
      </c>
    </row>
    <row r="95" spans="1:4" ht="11.1" customHeight="1" x14ac:dyDescent="0.2">
      <c r="A95" s="2">
        <v>10</v>
      </c>
      <c r="B95" s="20" t="s">
        <v>63</v>
      </c>
      <c r="C95" s="83">
        <v>522614616.67000002</v>
      </c>
      <c r="D95" s="83">
        <f>779214423.79-16432.44</f>
        <v>779197991.3499999</v>
      </c>
    </row>
    <row r="96" spans="1:4" ht="11.1" customHeight="1" x14ac:dyDescent="0.2">
      <c r="A96" s="2">
        <v>11</v>
      </c>
      <c r="B96" s="20" t="s">
        <v>448</v>
      </c>
      <c r="C96" s="84">
        <f>C97+C98+C99</f>
        <v>83166.42</v>
      </c>
      <c r="D96" s="84">
        <f>D97+D98+D99</f>
        <v>347268.47000000003</v>
      </c>
    </row>
    <row r="97" spans="1:6" ht="11.1" customHeight="1" x14ac:dyDescent="0.2">
      <c r="A97" s="2"/>
      <c r="B97" s="23" t="s">
        <v>517</v>
      </c>
      <c r="C97" s="32">
        <v>77538.73</v>
      </c>
      <c r="D97" s="32">
        <v>77538.73</v>
      </c>
    </row>
    <row r="98" spans="1:6" ht="11.1" customHeight="1" x14ac:dyDescent="0.2">
      <c r="A98" s="2"/>
      <c r="B98" s="23" t="s">
        <v>518</v>
      </c>
      <c r="C98" s="32">
        <v>1381.35</v>
      </c>
      <c r="D98" s="32">
        <v>257174.9</v>
      </c>
    </row>
    <row r="99" spans="1:6" ht="11.1" customHeight="1" x14ac:dyDescent="0.2">
      <c r="A99" s="2"/>
      <c r="B99" s="23" t="s">
        <v>519</v>
      </c>
      <c r="C99" s="32">
        <v>4246.34</v>
      </c>
      <c r="D99" s="32">
        <v>12554.84</v>
      </c>
    </row>
    <row r="100" spans="1:6" ht="11.1" customHeight="1" x14ac:dyDescent="0.2">
      <c r="A100" s="2">
        <v>12</v>
      </c>
      <c r="B100" s="20" t="s">
        <v>429</v>
      </c>
      <c r="C100" s="83">
        <v>9385452.7200000007</v>
      </c>
      <c r="D100" s="83">
        <v>13876779.300000001</v>
      </c>
    </row>
    <row r="101" spans="1:6" ht="11.1" customHeight="1" x14ac:dyDescent="0.2">
      <c r="A101" s="4">
        <v>13</v>
      </c>
      <c r="B101" s="20" t="s">
        <v>430</v>
      </c>
      <c r="C101" s="83">
        <v>421409874.69999999</v>
      </c>
      <c r="D101" s="83">
        <v>635102290.86000001</v>
      </c>
      <c r="E101" s="9"/>
    </row>
    <row r="102" spans="1:6" ht="12.75" customHeight="1" x14ac:dyDescent="0.2">
      <c r="A102" s="4">
        <v>14</v>
      </c>
      <c r="B102" s="25" t="s">
        <v>431</v>
      </c>
      <c r="C102" s="83">
        <v>42258911.57</v>
      </c>
      <c r="D102" s="83">
        <f>[1]TDSheet!F78+[1]TDSheet!F79</f>
        <v>62658842.280000001</v>
      </c>
    </row>
    <row r="103" spans="1:6" ht="33.75" customHeight="1" x14ac:dyDescent="0.2">
      <c r="A103" s="4"/>
      <c r="B103" s="25" t="s">
        <v>285</v>
      </c>
      <c r="C103" s="95">
        <f>C102+C101+C100+C96+C95+C91+C88+C55+C51+C45+C38+C20+C14+C9+C8</f>
        <v>1533756204.6200004</v>
      </c>
      <c r="D103" s="15">
        <f>D102+D101+D100+D96+D91+D88+D55+D51+D45+D38+D20+D14+D9+D8+D95</f>
        <v>2284430079.8499994</v>
      </c>
      <c r="E103" s="9"/>
      <c r="F103" s="9"/>
    </row>
    <row r="104" spans="1:6" ht="11.1" customHeight="1" x14ac:dyDescent="0.2">
      <c r="A104" s="4"/>
      <c r="B104" s="25"/>
      <c r="C104" s="9">
        <f>SUM(C56:C87)</f>
        <v>51294453.230000004</v>
      </c>
      <c r="D104" s="85"/>
      <c r="E104" s="86"/>
    </row>
    <row r="105" spans="1:6" ht="11.1" customHeight="1" x14ac:dyDescent="0.2">
      <c r="A105" s="12"/>
      <c r="B105" s="26" t="s">
        <v>435</v>
      </c>
      <c r="C105" s="5"/>
      <c r="D105" s="5"/>
    </row>
    <row r="106" spans="1:6" ht="11.1" customHeight="1" x14ac:dyDescent="0.2">
      <c r="A106" s="2" t="s">
        <v>0</v>
      </c>
      <c r="B106" s="20" t="s">
        <v>286</v>
      </c>
      <c r="C106" s="10">
        <f>C107+C108</f>
        <v>1496851.01</v>
      </c>
      <c r="D106" s="10">
        <f>D107+D108</f>
        <v>2365418.5699999998</v>
      </c>
    </row>
    <row r="107" spans="1:6" ht="11.1" customHeight="1" x14ac:dyDescent="0.2">
      <c r="A107" s="119"/>
      <c r="B107" s="23" t="s">
        <v>1</v>
      </c>
      <c r="C107" s="82">
        <v>616245.28</v>
      </c>
      <c r="D107" s="32">
        <v>948389.92</v>
      </c>
    </row>
    <row r="108" spans="1:6" ht="11.1" customHeight="1" x14ac:dyDescent="0.2">
      <c r="A108" s="119"/>
      <c r="B108" s="23" t="s">
        <v>287</v>
      </c>
      <c r="C108" s="82">
        <v>880605.73</v>
      </c>
      <c r="D108" s="32">
        <v>1417028.65</v>
      </c>
    </row>
    <row r="109" spans="1:6" ht="11.1" customHeight="1" x14ac:dyDescent="0.2">
      <c r="A109" s="2" t="s">
        <v>3</v>
      </c>
      <c r="B109" s="20" t="s">
        <v>288</v>
      </c>
      <c r="C109" s="10">
        <f>C110+C111+C112+C113+C114</f>
        <v>494654.03000000009</v>
      </c>
      <c r="D109" s="10">
        <f>D110+D111+D112+D113+D114</f>
        <v>954880.84</v>
      </c>
    </row>
    <row r="110" spans="1:6" ht="11.1" customHeight="1" x14ac:dyDescent="0.2">
      <c r="A110" s="119"/>
      <c r="B110" s="23" t="s">
        <v>289</v>
      </c>
      <c r="C110" s="82">
        <v>111147.4</v>
      </c>
      <c r="D110" s="32">
        <v>165202.45000000001</v>
      </c>
    </row>
    <row r="111" spans="1:6" ht="11.1" customHeight="1" x14ac:dyDescent="0.2">
      <c r="A111" s="119"/>
      <c r="B111" s="23" t="s">
        <v>290</v>
      </c>
      <c r="C111" s="82">
        <v>235845.14</v>
      </c>
      <c r="D111" s="32">
        <v>572720.6</v>
      </c>
    </row>
    <row r="112" spans="1:6" ht="11.1" customHeight="1" x14ac:dyDescent="0.2">
      <c r="A112" s="119"/>
      <c r="B112" s="23" t="s">
        <v>16</v>
      </c>
      <c r="C112" s="82">
        <v>16320.78</v>
      </c>
      <c r="D112" s="32">
        <v>24188.12</v>
      </c>
    </row>
    <row r="113" spans="1:4" ht="11.1" customHeight="1" x14ac:dyDescent="0.2">
      <c r="A113" s="119"/>
      <c r="B113" s="23" t="s">
        <v>291</v>
      </c>
      <c r="C113" s="82">
        <v>12101.52</v>
      </c>
      <c r="D113" s="32">
        <f>[2]TDSheet!F28+[2]TDSheet!F29</f>
        <v>20367.079999999998</v>
      </c>
    </row>
    <row r="114" spans="1:4" ht="11.1" customHeight="1" x14ac:dyDescent="0.2">
      <c r="A114" s="119"/>
      <c r="B114" s="23" t="s">
        <v>292</v>
      </c>
      <c r="C114" s="82">
        <v>119239.19</v>
      </c>
      <c r="D114" s="32">
        <v>172402.59</v>
      </c>
    </row>
    <row r="115" spans="1:4" ht="11.1" customHeight="1" x14ac:dyDescent="0.2">
      <c r="A115" s="2" t="s">
        <v>5</v>
      </c>
      <c r="B115" s="20" t="s">
        <v>293</v>
      </c>
      <c r="C115" s="10">
        <f>C116+C117+C118+C119</f>
        <v>100902.47</v>
      </c>
      <c r="D115" s="10">
        <f>D116+D117+D118+D119</f>
        <v>111433.07</v>
      </c>
    </row>
    <row r="116" spans="1:4" ht="11.1" customHeight="1" x14ac:dyDescent="0.2">
      <c r="A116" s="119"/>
      <c r="B116" s="23" t="s">
        <v>294</v>
      </c>
      <c r="C116" s="82">
        <v>16062.77</v>
      </c>
      <c r="D116" s="32">
        <v>16062.77</v>
      </c>
    </row>
    <row r="117" spans="1:4" ht="11.1" customHeight="1" x14ac:dyDescent="0.2">
      <c r="A117" s="119"/>
      <c r="B117" s="23" t="s">
        <v>295</v>
      </c>
      <c r="C117" s="82">
        <v>41452.5</v>
      </c>
      <c r="D117" s="32">
        <v>41452.5</v>
      </c>
    </row>
    <row r="118" spans="1:4" ht="11.1" customHeight="1" x14ac:dyDescent="0.2">
      <c r="A118" s="119"/>
      <c r="B118" s="23" t="s">
        <v>296</v>
      </c>
      <c r="C118" s="82">
        <v>43387.199999999997</v>
      </c>
      <c r="D118" s="32">
        <v>53917.8</v>
      </c>
    </row>
    <row r="119" spans="1:4" ht="11.1" customHeight="1" x14ac:dyDescent="0.2">
      <c r="A119" s="119"/>
      <c r="B119" s="23" t="s">
        <v>297</v>
      </c>
      <c r="C119" s="5"/>
      <c r="D119" s="5"/>
    </row>
    <row r="120" spans="1:4" ht="11.1" customHeight="1" x14ac:dyDescent="0.2">
      <c r="A120" s="2" t="s">
        <v>7</v>
      </c>
      <c r="B120" s="20" t="s">
        <v>298</v>
      </c>
      <c r="C120" s="10">
        <f>C121+C122+C123+C124+C125</f>
        <v>12207650.189999999</v>
      </c>
      <c r="D120" s="10">
        <f>D121+D122+D123+D124+D125</f>
        <v>17292961.329999998</v>
      </c>
    </row>
    <row r="121" spans="1:4" ht="11.1" customHeight="1" x14ac:dyDescent="0.2">
      <c r="A121" s="3"/>
      <c r="B121" s="23" t="s">
        <v>299</v>
      </c>
      <c r="C121" s="82">
        <v>546623.22</v>
      </c>
      <c r="D121" s="32">
        <v>729149.51</v>
      </c>
    </row>
    <row r="122" spans="1:4" ht="11.1" customHeight="1" x14ac:dyDescent="0.2">
      <c r="A122" s="3"/>
      <c r="B122" s="23" t="s">
        <v>300</v>
      </c>
      <c r="C122" s="82">
        <v>9735549.5199999996</v>
      </c>
      <c r="D122" s="32">
        <v>14603324.279999999</v>
      </c>
    </row>
    <row r="123" spans="1:4" ht="11.1" customHeight="1" x14ac:dyDescent="0.2">
      <c r="A123" s="119"/>
      <c r="B123" s="23" t="s">
        <v>301</v>
      </c>
      <c r="C123" s="82">
        <v>39433.5</v>
      </c>
      <c r="D123" s="32">
        <v>74443.59</v>
      </c>
    </row>
    <row r="124" spans="1:4" ht="11.1" customHeight="1" x14ac:dyDescent="0.2">
      <c r="A124" s="119"/>
      <c r="B124" s="23" t="s">
        <v>302</v>
      </c>
      <c r="C124" s="82">
        <v>1885699.45</v>
      </c>
      <c r="D124" s="32">
        <v>1885699.45</v>
      </c>
    </row>
    <row r="125" spans="1:4" ht="11.1" customHeight="1" x14ac:dyDescent="0.2">
      <c r="A125" s="119"/>
      <c r="B125" s="23" t="s">
        <v>496</v>
      </c>
      <c r="C125" s="88">
        <v>344.5</v>
      </c>
      <c r="D125" s="34">
        <v>344.5</v>
      </c>
    </row>
    <row r="126" spans="1:4" ht="11.1" customHeight="1" x14ac:dyDescent="0.2">
      <c r="A126" s="2" t="s">
        <v>9</v>
      </c>
      <c r="B126" s="47" t="s">
        <v>542</v>
      </c>
      <c r="C126" s="5"/>
      <c r="D126" s="124">
        <v>5194.8</v>
      </c>
    </row>
    <row r="127" spans="1:4" ht="11.1" customHeight="1" x14ac:dyDescent="0.2">
      <c r="A127" s="2" t="s">
        <v>10</v>
      </c>
      <c r="B127" s="20" t="s">
        <v>437</v>
      </c>
      <c r="C127" s="10">
        <f>C128+C129</f>
        <v>1510426.4900000002</v>
      </c>
      <c r="D127" s="10">
        <f>D128+D129</f>
        <v>2239441.2199999997</v>
      </c>
    </row>
    <row r="128" spans="1:4" ht="11.1" customHeight="1" x14ac:dyDescent="0.2">
      <c r="A128" s="2"/>
      <c r="B128" s="23" t="s">
        <v>438</v>
      </c>
      <c r="C128" s="82">
        <v>1321955.3600000001</v>
      </c>
      <c r="D128" s="32">
        <v>1971636.7</v>
      </c>
    </row>
    <row r="129" spans="1:4" ht="11.1" customHeight="1" x14ac:dyDescent="0.2">
      <c r="A129" s="119"/>
      <c r="B129" s="33" t="s">
        <v>273</v>
      </c>
      <c r="C129" s="82">
        <v>188471.13</v>
      </c>
      <c r="D129" s="32">
        <v>267804.52</v>
      </c>
    </row>
    <row r="130" spans="1:4" ht="11.1" customHeight="1" x14ac:dyDescent="0.2">
      <c r="A130" s="2" t="s">
        <v>14</v>
      </c>
      <c r="B130" s="20" t="s">
        <v>307</v>
      </c>
      <c r="C130" s="10">
        <f>C131+C134+C135+C136+C137+C138+C139+C140+C141+C142+C144+C145+C146+C147+C148+C150+C151+C152+C153+C154+C156+C157+C133+C158+C159+C155+C149</f>
        <v>6136037.3699999992</v>
      </c>
      <c r="D130" s="10">
        <f>D131+D133+D134+D135+D136+D137+D138+D139+D140+D141+D142+D143+D144+D145+D146+D147+D148+D149+D150+D151+D152+D153+D154+D155+D156+D157+D158+D159</f>
        <v>10049108.24</v>
      </c>
    </row>
    <row r="131" spans="1:4" ht="11.1" customHeight="1" x14ac:dyDescent="0.2">
      <c r="A131" s="2"/>
      <c r="B131" s="33" t="s">
        <v>15</v>
      </c>
      <c r="C131" s="82">
        <v>886349.99</v>
      </c>
      <c r="D131" s="32">
        <v>886349.99</v>
      </c>
    </row>
    <row r="132" spans="1:4" ht="11.1" hidden="1" customHeight="1" x14ac:dyDescent="0.2">
      <c r="A132" s="2"/>
      <c r="B132" s="33" t="s">
        <v>308</v>
      </c>
      <c r="C132" s="5"/>
      <c r="D132" s="5"/>
    </row>
    <row r="133" spans="1:4" ht="11.1" customHeight="1" x14ac:dyDescent="0.2">
      <c r="A133" s="2"/>
      <c r="B133" s="24" t="s">
        <v>410</v>
      </c>
      <c r="C133" s="64">
        <v>9419.25</v>
      </c>
      <c r="D133" s="64">
        <v>19020.900000000001</v>
      </c>
    </row>
    <row r="134" spans="1:4" ht="11.1" customHeight="1" x14ac:dyDescent="0.2">
      <c r="A134" s="2"/>
      <c r="B134" s="33" t="s">
        <v>8</v>
      </c>
      <c r="C134" s="82">
        <v>25385.99</v>
      </c>
      <c r="D134" s="32">
        <v>55147.95</v>
      </c>
    </row>
    <row r="135" spans="1:4" ht="11.1" customHeight="1" x14ac:dyDescent="0.2">
      <c r="A135" s="2"/>
      <c r="B135" s="24" t="s">
        <v>424</v>
      </c>
      <c r="C135" s="64">
        <v>49590</v>
      </c>
      <c r="D135" s="64">
        <v>1171473.25</v>
      </c>
    </row>
    <row r="136" spans="1:4" ht="11.1" customHeight="1" x14ac:dyDescent="0.2">
      <c r="A136" s="3"/>
      <c r="B136" s="33" t="s">
        <v>381</v>
      </c>
      <c r="C136" s="82">
        <v>602791.46</v>
      </c>
      <c r="D136" s="32">
        <v>837656.19</v>
      </c>
    </row>
    <row r="137" spans="1:4" ht="11.1" customHeight="1" x14ac:dyDescent="0.2">
      <c r="A137" s="3"/>
      <c r="B137" s="24" t="s">
        <v>279</v>
      </c>
      <c r="C137" s="64">
        <v>8867.83</v>
      </c>
      <c r="D137" s="64">
        <v>8867.83</v>
      </c>
    </row>
    <row r="138" spans="1:4" ht="11.1" customHeight="1" x14ac:dyDescent="0.2">
      <c r="A138" s="3"/>
      <c r="B138" s="33" t="s">
        <v>304</v>
      </c>
      <c r="C138" s="82">
        <v>375958.87</v>
      </c>
      <c r="D138" s="32">
        <v>411374.12</v>
      </c>
    </row>
    <row r="139" spans="1:4" ht="11.1" customHeight="1" x14ac:dyDescent="0.2">
      <c r="A139" s="3"/>
      <c r="B139" s="24" t="s">
        <v>157</v>
      </c>
      <c r="C139" s="64">
        <v>888383.74</v>
      </c>
      <c r="D139" s="64">
        <v>1578532.82</v>
      </c>
    </row>
    <row r="140" spans="1:4" ht="11.1" customHeight="1" x14ac:dyDescent="0.2">
      <c r="A140" s="3"/>
      <c r="B140" s="33" t="s">
        <v>488</v>
      </c>
      <c r="C140" s="82">
        <v>278388.05</v>
      </c>
      <c r="D140" s="32">
        <v>422615.15</v>
      </c>
    </row>
    <row r="141" spans="1:4" ht="11.1" customHeight="1" x14ac:dyDescent="0.2">
      <c r="A141" s="3"/>
      <c r="B141" s="33" t="s">
        <v>408</v>
      </c>
      <c r="C141" s="82">
        <v>791616</v>
      </c>
      <c r="D141" s="32">
        <v>913202.7</v>
      </c>
    </row>
    <row r="142" spans="1:4" ht="11.1" customHeight="1" x14ac:dyDescent="0.2">
      <c r="A142" s="3"/>
      <c r="B142" s="33" t="s">
        <v>6</v>
      </c>
      <c r="C142" s="82">
        <v>18273.169999999998</v>
      </c>
      <c r="D142" s="32">
        <v>74948.03</v>
      </c>
    </row>
    <row r="143" spans="1:4" ht="11.1" customHeight="1" x14ac:dyDescent="0.2">
      <c r="A143" s="3"/>
      <c r="B143" s="24" t="s">
        <v>404</v>
      </c>
      <c r="C143" s="64"/>
      <c r="D143" s="123">
        <v>35589.379999999997</v>
      </c>
    </row>
    <row r="144" spans="1:4" ht="11.1" customHeight="1" x14ac:dyDescent="0.2">
      <c r="A144" s="3"/>
      <c r="B144" s="33" t="s">
        <v>384</v>
      </c>
      <c r="C144" s="82">
        <v>115746.53</v>
      </c>
      <c r="D144" s="32">
        <v>309707.59999999998</v>
      </c>
    </row>
    <row r="145" spans="1:5" ht="11.1" customHeight="1" x14ac:dyDescent="0.2">
      <c r="A145" s="3"/>
      <c r="B145" s="24" t="s">
        <v>276</v>
      </c>
      <c r="C145" s="64">
        <v>68400</v>
      </c>
      <c r="D145" s="64">
        <v>114640.68</v>
      </c>
    </row>
    <row r="146" spans="1:5" ht="11.1" customHeight="1" x14ac:dyDescent="0.2">
      <c r="A146" s="3"/>
      <c r="B146" s="33" t="s">
        <v>12</v>
      </c>
      <c r="C146" s="82">
        <v>203494.25</v>
      </c>
      <c r="D146" s="32">
        <v>293498.46000000002</v>
      </c>
    </row>
    <row r="147" spans="1:5" ht="11.1" customHeight="1" x14ac:dyDescent="0.2">
      <c r="A147" s="3"/>
      <c r="B147" s="24" t="s">
        <v>319</v>
      </c>
      <c r="C147" s="64">
        <v>218880</v>
      </c>
      <c r="D147" s="64">
        <v>218880</v>
      </c>
    </row>
    <row r="148" spans="1:5" ht="11.1" customHeight="1" x14ac:dyDescent="0.2">
      <c r="A148" s="3"/>
      <c r="B148" s="33" t="s">
        <v>110</v>
      </c>
      <c r="C148" s="32">
        <v>442331.13</v>
      </c>
      <c r="D148" s="32">
        <v>669612.38</v>
      </c>
    </row>
    <row r="149" spans="1:5" ht="11.1" customHeight="1" x14ac:dyDescent="0.2">
      <c r="A149" s="3"/>
      <c r="B149" s="33" t="s">
        <v>522</v>
      </c>
      <c r="C149" s="82">
        <v>77813.399999999994</v>
      </c>
      <c r="D149" s="63">
        <v>77813.399999999994</v>
      </c>
    </row>
    <row r="150" spans="1:5" ht="11.1" customHeight="1" x14ac:dyDescent="0.2">
      <c r="A150" s="119"/>
      <c r="B150" s="24" t="s">
        <v>280</v>
      </c>
      <c r="C150" s="64">
        <v>81307.460000000006</v>
      </c>
      <c r="D150" s="64">
        <v>95744.9</v>
      </c>
    </row>
    <row r="151" spans="1:5" ht="11.1" customHeight="1" x14ac:dyDescent="0.2">
      <c r="A151" s="119"/>
      <c r="B151" s="24" t="s">
        <v>258</v>
      </c>
      <c r="C151" s="64">
        <v>435946.53</v>
      </c>
      <c r="D151" s="64">
        <v>884536.41</v>
      </c>
    </row>
    <row r="152" spans="1:5" ht="11.1" customHeight="1" x14ac:dyDescent="0.2">
      <c r="A152" s="119"/>
      <c r="B152" s="23" t="s">
        <v>425</v>
      </c>
      <c r="C152" s="82">
        <v>37620</v>
      </c>
      <c r="D152" s="32">
        <v>37620</v>
      </c>
    </row>
    <row r="153" spans="1:5" ht="11.1" customHeight="1" x14ac:dyDescent="0.2">
      <c r="A153" s="119"/>
      <c r="B153" s="23" t="s">
        <v>541</v>
      </c>
      <c r="C153" s="82">
        <v>100510.49</v>
      </c>
      <c r="D153" s="32">
        <f>102483.08+54720</f>
        <v>157203.08000000002</v>
      </c>
    </row>
    <row r="154" spans="1:5" ht="11.1" customHeight="1" x14ac:dyDescent="0.2">
      <c r="A154" s="119"/>
      <c r="B154" s="23" t="s">
        <v>409</v>
      </c>
      <c r="C154" s="82">
        <v>23456.89</v>
      </c>
      <c r="D154" s="32">
        <v>38764.92</v>
      </c>
    </row>
    <row r="155" spans="1:5" ht="11.1" customHeight="1" x14ac:dyDescent="0.2">
      <c r="A155" s="119"/>
      <c r="B155" s="33" t="s">
        <v>127</v>
      </c>
      <c r="C155" s="82">
        <v>54719.78</v>
      </c>
      <c r="D155" s="32">
        <v>54719.78</v>
      </c>
    </row>
    <row r="156" spans="1:5" ht="11.1" customHeight="1" x14ac:dyDescent="0.2">
      <c r="A156" s="119"/>
      <c r="B156" s="23" t="s">
        <v>325</v>
      </c>
      <c r="C156" s="82">
        <v>286934.09999999998</v>
      </c>
      <c r="D156" s="32">
        <v>627735.86</v>
      </c>
    </row>
    <row r="157" spans="1:5" ht="11.1" customHeight="1" x14ac:dyDescent="0.2">
      <c r="A157" s="119"/>
      <c r="B157" s="23" t="s">
        <v>422</v>
      </c>
      <c r="C157" s="5"/>
      <c r="D157" s="5"/>
      <c r="E157" s="32"/>
    </row>
    <row r="158" spans="1:5" ht="11.1" customHeight="1" x14ac:dyDescent="0.2">
      <c r="A158" s="119"/>
      <c r="B158" s="24" t="s">
        <v>447</v>
      </c>
      <c r="C158" s="64">
        <v>51401.46</v>
      </c>
      <c r="D158" s="64">
        <f>[2]TDSheet!F18+[2]TDSheet!F20</f>
        <v>51401.46</v>
      </c>
      <c r="E158" s="9">
        <f>D159+D158+D151+D150+D147+D145+D139+D137+D135+D133+D143+D126</f>
        <v>4186333.4299999997</v>
      </c>
    </row>
    <row r="159" spans="1:5" ht="11.1" customHeight="1" x14ac:dyDescent="0.2">
      <c r="A159" s="119"/>
      <c r="B159" s="24" t="s">
        <v>450</v>
      </c>
      <c r="C159" s="64">
        <v>2451</v>
      </c>
      <c r="D159" s="64">
        <v>2451</v>
      </c>
      <c r="E159" s="9"/>
    </row>
    <row r="160" spans="1:5" ht="11.1" customHeight="1" x14ac:dyDescent="0.2">
      <c r="A160" s="2">
        <v>8</v>
      </c>
      <c r="B160" s="20" t="s">
        <v>385</v>
      </c>
      <c r="C160" s="83">
        <v>1948911.44</v>
      </c>
      <c r="D160" s="83">
        <v>2683774.34</v>
      </c>
    </row>
    <row r="161" spans="1:6" ht="11.1" customHeight="1" x14ac:dyDescent="0.2">
      <c r="A161" s="2">
        <v>9</v>
      </c>
      <c r="B161" s="20" t="s">
        <v>377</v>
      </c>
      <c r="C161" s="83">
        <v>40638386.600000001</v>
      </c>
      <c r="D161" s="83">
        <v>62486787.420000002</v>
      </c>
    </row>
    <row r="162" spans="1:6" ht="11.1" customHeight="1" x14ac:dyDescent="0.2">
      <c r="A162" s="2">
        <v>10</v>
      </c>
      <c r="B162" s="20" t="s">
        <v>426</v>
      </c>
      <c r="C162" s="89">
        <v>4102213.1900000004</v>
      </c>
      <c r="D162" s="83">
        <f>[2]TDSheet!F52+[2]TDSheet!F53</f>
        <v>6111867.3300000001</v>
      </c>
    </row>
    <row r="163" spans="1:6" ht="24.75" customHeight="1" x14ac:dyDescent="0.2">
      <c r="A163" s="2"/>
      <c r="B163" s="25" t="s">
        <v>396</v>
      </c>
      <c r="C163" s="15">
        <f>C162+C161+C160+C130+C127+C120+C115+C109+C106</f>
        <v>68636032.789999992</v>
      </c>
      <c r="D163" s="15">
        <f>D162+D161+D160+D130+D127+D126+D120+D115+D109+D106</f>
        <v>104300867.15999998</v>
      </c>
      <c r="E163" s="9"/>
      <c r="F163" s="9"/>
    </row>
    <row r="164" spans="1:6" ht="11.1" customHeight="1" x14ac:dyDescent="0.2">
      <c r="A164" s="2"/>
      <c r="B164" s="25"/>
    </row>
    <row r="165" spans="1:6" ht="11.1" customHeight="1" x14ac:dyDescent="0.2">
      <c r="A165" s="2"/>
      <c r="B165" s="26" t="s">
        <v>432</v>
      </c>
      <c r="C165" s="60"/>
      <c r="D165" s="5"/>
    </row>
    <row r="166" spans="1:6" ht="11.1" customHeight="1" x14ac:dyDescent="0.2">
      <c r="A166" s="2" t="s">
        <v>0</v>
      </c>
      <c r="B166" s="25" t="s">
        <v>310</v>
      </c>
      <c r="C166" s="90">
        <f>C167+C168+C169</f>
        <v>560887.01</v>
      </c>
      <c r="D166" s="90">
        <f>D167+D168+D169</f>
        <v>884415</v>
      </c>
    </row>
    <row r="167" spans="1:6" ht="10.5" customHeight="1" x14ac:dyDescent="0.2">
      <c r="A167" s="2"/>
      <c r="B167" s="27" t="s">
        <v>2</v>
      </c>
      <c r="C167" s="32">
        <v>436468.43</v>
      </c>
      <c r="D167" s="32">
        <v>718266.29</v>
      </c>
    </row>
    <row r="168" spans="1:6" ht="11.1" customHeight="1" x14ac:dyDescent="0.2">
      <c r="A168" s="2"/>
      <c r="B168" s="27" t="s">
        <v>311</v>
      </c>
      <c r="C168" s="5"/>
      <c r="D168" s="5"/>
    </row>
    <row r="169" spans="1:6" ht="11.1" customHeight="1" x14ac:dyDescent="0.2">
      <c r="A169" s="2"/>
      <c r="B169" s="27" t="s">
        <v>1</v>
      </c>
      <c r="C169" s="32">
        <v>124418.58</v>
      </c>
      <c r="D169" s="32">
        <v>166148.71</v>
      </c>
    </row>
    <row r="170" spans="1:6" ht="11.1" customHeight="1" x14ac:dyDescent="0.2">
      <c r="A170" s="2" t="s">
        <v>3</v>
      </c>
      <c r="B170" s="20" t="s">
        <v>288</v>
      </c>
      <c r="C170" s="90">
        <f>C171+C172+C173+C174+C175</f>
        <v>813800.14</v>
      </c>
      <c r="D170" s="90">
        <f>D171+D172+D173+D174+D175</f>
        <v>943476.46</v>
      </c>
    </row>
    <row r="171" spans="1:6" ht="11.1" customHeight="1" x14ac:dyDescent="0.2">
      <c r="A171" s="2"/>
      <c r="B171" s="23" t="s">
        <v>289</v>
      </c>
      <c r="C171" s="32">
        <v>93430.64</v>
      </c>
      <c r="D171" s="32">
        <v>147013.68</v>
      </c>
    </row>
    <row r="172" spans="1:6" ht="11.1" customHeight="1" x14ac:dyDescent="0.2">
      <c r="A172" s="2"/>
      <c r="B172" s="23" t="s">
        <v>290</v>
      </c>
      <c r="C172" s="32">
        <v>580216.68000000005</v>
      </c>
      <c r="D172" s="32">
        <v>595223.81999999995</v>
      </c>
    </row>
    <row r="173" spans="1:6" ht="11.1" customHeight="1" x14ac:dyDescent="0.2">
      <c r="A173" s="2"/>
      <c r="B173" s="23" t="s">
        <v>323</v>
      </c>
      <c r="C173" s="34">
        <v>10.72</v>
      </c>
      <c r="D173" s="34">
        <v>113.97</v>
      </c>
    </row>
    <row r="174" spans="1:6" ht="11.1" customHeight="1" x14ac:dyDescent="0.2">
      <c r="A174" s="2"/>
      <c r="B174" s="23" t="s">
        <v>292</v>
      </c>
      <c r="C174" s="32">
        <v>64746.879999999997</v>
      </c>
      <c r="D174" s="32">
        <v>88650.51</v>
      </c>
    </row>
    <row r="175" spans="1:6" ht="11.1" customHeight="1" x14ac:dyDescent="0.2">
      <c r="A175" s="2"/>
      <c r="B175" s="23" t="s">
        <v>16</v>
      </c>
      <c r="C175" s="32">
        <v>75395.22</v>
      </c>
      <c r="D175" s="32">
        <v>112474.48</v>
      </c>
    </row>
    <row r="176" spans="1:6" ht="11.1" customHeight="1" x14ac:dyDescent="0.2">
      <c r="A176" s="2" t="s">
        <v>5</v>
      </c>
      <c r="B176" s="47" t="s">
        <v>293</v>
      </c>
      <c r="C176" s="91">
        <f>C177+C178+C179+C180</f>
        <v>80563.8</v>
      </c>
      <c r="D176" s="91">
        <f>D177+D178+D179+D180</f>
        <v>80563.8</v>
      </c>
    </row>
    <row r="177" spans="1:5" ht="11.1" customHeight="1" x14ac:dyDescent="0.2">
      <c r="A177" s="119"/>
      <c r="B177" s="23" t="s">
        <v>294</v>
      </c>
      <c r="C177" s="32">
        <v>21568.799999999999</v>
      </c>
      <c r="D177" s="32">
        <v>21568.799999999999</v>
      </c>
    </row>
    <row r="178" spans="1:5" ht="11.1" customHeight="1" x14ac:dyDescent="0.2">
      <c r="A178" s="119"/>
      <c r="B178" s="23" t="s">
        <v>295</v>
      </c>
      <c r="C178" s="32">
        <v>27531</v>
      </c>
      <c r="D178" s="32">
        <v>27531</v>
      </c>
    </row>
    <row r="179" spans="1:5" ht="11.1" customHeight="1" x14ac:dyDescent="0.2">
      <c r="A179" s="119"/>
      <c r="B179" s="23" t="s">
        <v>296</v>
      </c>
      <c r="C179" s="32">
        <v>31464</v>
      </c>
      <c r="D179" s="32">
        <v>31464</v>
      </c>
    </row>
    <row r="180" spans="1:5" ht="11.1" customHeight="1" x14ac:dyDescent="0.2">
      <c r="A180" s="119"/>
      <c r="B180" s="23" t="s">
        <v>297</v>
      </c>
      <c r="C180" s="5"/>
      <c r="D180" s="5"/>
    </row>
    <row r="181" spans="1:5" ht="11.1" customHeight="1" x14ac:dyDescent="0.2">
      <c r="A181" s="2">
        <v>4</v>
      </c>
      <c r="B181" s="20" t="s">
        <v>307</v>
      </c>
      <c r="C181" s="90">
        <f>C182+C183+C184+C185+C186+C187+C188+C189+C190+C191+C192+C193+C194</f>
        <v>9286481.9000000004</v>
      </c>
      <c r="D181" s="90">
        <f>D182+D183+D184+D185+D186+D187+D188+D189+D190+D191+D192+D193+D194+D195</f>
        <v>14767126.279999999</v>
      </c>
    </row>
    <row r="182" spans="1:5" ht="11.1" customHeight="1" x14ac:dyDescent="0.2">
      <c r="A182" s="2"/>
      <c r="B182" s="23" t="s">
        <v>153</v>
      </c>
      <c r="C182" s="32">
        <v>409790.81</v>
      </c>
      <c r="D182" s="32">
        <v>439204.79</v>
      </c>
    </row>
    <row r="183" spans="1:5" ht="11.1" customHeight="1" x14ac:dyDescent="0.2">
      <c r="A183" s="2"/>
      <c r="B183" s="23" t="s">
        <v>381</v>
      </c>
      <c r="C183" s="32">
        <v>2057513.58</v>
      </c>
      <c r="D183" s="32">
        <v>2901429.12</v>
      </c>
    </row>
    <row r="184" spans="1:5" ht="12.75" customHeight="1" x14ac:dyDescent="0.2">
      <c r="A184" s="2"/>
      <c r="B184" s="23" t="s">
        <v>387</v>
      </c>
      <c r="C184" s="32">
        <v>221543.77</v>
      </c>
      <c r="D184" s="32">
        <v>714318.31</v>
      </c>
    </row>
    <row r="185" spans="1:5" ht="11.1" customHeight="1" x14ac:dyDescent="0.2">
      <c r="A185" s="2"/>
      <c r="B185" s="23" t="s">
        <v>272</v>
      </c>
      <c r="C185" s="32">
        <v>2743919.6500000004</v>
      </c>
      <c r="D185" s="32">
        <f>3427914.52+321563.43</f>
        <v>3749477.95</v>
      </c>
      <c r="E185" s="32"/>
    </row>
    <row r="186" spans="1:5" ht="11.1" customHeight="1" x14ac:dyDescent="0.2">
      <c r="A186" s="3"/>
      <c r="B186" s="33" t="s">
        <v>325</v>
      </c>
      <c r="C186" s="32">
        <v>486128.18</v>
      </c>
      <c r="D186" s="32">
        <v>678066.43</v>
      </c>
    </row>
    <row r="187" spans="1:5" ht="11.1" customHeight="1" x14ac:dyDescent="0.2">
      <c r="A187" s="3"/>
      <c r="B187" s="33" t="s">
        <v>6</v>
      </c>
      <c r="C187" s="32">
        <v>6885.32</v>
      </c>
      <c r="D187" s="32">
        <v>6959.63</v>
      </c>
    </row>
    <row r="188" spans="1:5" ht="11.1" customHeight="1" x14ac:dyDescent="0.2">
      <c r="A188" s="3"/>
      <c r="B188" s="24" t="s">
        <v>157</v>
      </c>
      <c r="C188" s="64">
        <v>3087120.42</v>
      </c>
      <c r="D188" s="64">
        <v>4776581.17</v>
      </c>
    </row>
    <row r="189" spans="1:5" ht="11.25" customHeight="1" x14ac:dyDescent="0.2">
      <c r="A189" s="3"/>
      <c r="B189" s="24" t="s">
        <v>120</v>
      </c>
      <c r="C189" s="64">
        <v>5041.08</v>
      </c>
      <c r="D189" s="64">
        <v>28667.02</v>
      </c>
    </row>
    <row r="190" spans="1:5" ht="11.25" customHeight="1" x14ac:dyDescent="0.2">
      <c r="A190" s="3"/>
      <c r="B190" s="24" t="s">
        <v>411</v>
      </c>
      <c r="C190" s="64">
        <v>24870.240000000002</v>
      </c>
      <c r="D190" s="64">
        <v>60459.62</v>
      </c>
    </row>
    <row r="191" spans="1:5" ht="11.25" customHeight="1" x14ac:dyDescent="0.2">
      <c r="A191" s="3"/>
      <c r="B191" s="23" t="s">
        <v>543</v>
      </c>
      <c r="C191" s="32">
        <v>46231.56</v>
      </c>
      <c r="D191" s="32">
        <f>78978.92+22800</f>
        <v>101778.92</v>
      </c>
    </row>
    <row r="192" spans="1:5" ht="11.25" customHeight="1" x14ac:dyDescent="0.2">
      <c r="A192" s="3"/>
      <c r="B192" s="24" t="s">
        <v>410</v>
      </c>
      <c r="C192" s="64">
        <v>1976.85</v>
      </c>
      <c r="D192" s="64">
        <v>1976.85</v>
      </c>
    </row>
    <row r="193" spans="1:6" ht="11.25" customHeight="1" x14ac:dyDescent="0.2">
      <c r="A193" s="3"/>
      <c r="B193" s="24" t="s">
        <v>276</v>
      </c>
      <c r="C193" s="64">
        <v>22800</v>
      </c>
      <c r="D193" s="64">
        <v>35661.480000000003</v>
      </c>
    </row>
    <row r="194" spans="1:6" ht="11.25" customHeight="1" x14ac:dyDescent="0.2">
      <c r="A194" s="30"/>
      <c r="B194" s="24" t="s">
        <v>480</v>
      </c>
      <c r="C194" s="64">
        <v>172660.44</v>
      </c>
      <c r="D194" s="64">
        <f>[3]TDSheet!F26+[3]TDSheet!F18</f>
        <v>200255.71000000002</v>
      </c>
      <c r="E194" s="9">
        <f>D194+D193+D192+D190+D189+D188+D176+D195</f>
        <v>6256454.9299999997</v>
      </c>
    </row>
    <row r="195" spans="1:6" ht="11.25" customHeight="1" x14ac:dyDescent="0.2">
      <c r="A195" s="30"/>
      <c r="B195" s="24" t="s">
        <v>544</v>
      </c>
      <c r="C195" s="64"/>
      <c r="D195" s="123">
        <v>1072289.28</v>
      </c>
    </row>
    <row r="196" spans="1:6" ht="11.1" customHeight="1" x14ac:dyDescent="0.2">
      <c r="A196" s="16">
        <v>5</v>
      </c>
      <c r="B196" s="20" t="s">
        <v>388</v>
      </c>
      <c r="C196" s="83">
        <v>597001.64</v>
      </c>
      <c r="D196" s="83">
        <v>917015.7</v>
      </c>
    </row>
    <row r="197" spans="1:6" ht="11.1" customHeight="1" x14ac:dyDescent="0.2">
      <c r="A197" s="16">
        <v>6</v>
      </c>
      <c r="B197" s="20" t="s">
        <v>377</v>
      </c>
      <c r="C197" s="83">
        <v>68661275.659999996</v>
      </c>
      <c r="D197" s="83">
        <v>100172395.26000001</v>
      </c>
    </row>
    <row r="198" spans="1:6" ht="11.1" customHeight="1" x14ac:dyDescent="0.2">
      <c r="A198" s="16">
        <v>7</v>
      </c>
      <c r="B198" s="20" t="s">
        <v>426</v>
      </c>
      <c r="C198" s="83">
        <v>7096471.9499999993</v>
      </c>
      <c r="D198" s="83">
        <f>[3]TDSheet!F32+[3]TDSheet!F33</f>
        <v>10114347.390000001</v>
      </c>
      <c r="E198" s="9"/>
    </row>
    <row r="199" spans="1:6" ht="28.5" customHeight="1" x14ac:dyDescent="0.2">
      <c r="A199" s="5"/>
      <c r="B199" s="25" t="s">
        <v>285</v>
      </c>
      <c r="C199" s="92">
        <f>C198+C197+C196+C181+C176+C170+C166</f>
        <v>87096482.100000009</v>
      </c>
      <c r="D199" s="92">
        <f>D198+D197+D196+D181+D176+D170+D166</f>
        <v>127879339.89</v>
      </c>
      <c r="E199" s="9"/>
      <c r="F199" s="9"/>
    </row>
    <row r="201" spans="1:6" ht="11.1" customHeight="1" x14ac:dyDescent="0.2">
      <c r="A201" s="223" t="s">
        <v>241</v>
      </c>
      <c r="B201" s="229"/>
    </row>
    <row r="202" spans="1:6" ht="11.1" customHeight="1" x14ac:dyDescent="0.2">
      <c r="A202" s="223" t="str">
        <f>A2</f>
        <v xml:space="preserve"> к отчету об исполнении тарифной сметы с 1 сентября 2022 года по 31 августа 2023 года</v>
      </c>
      <c r="B202" s="229"/>
    </row>
    <row r="203" spans="1:6" ht="11.1" customHeight="1" x14ac:dyDescent="0.2">
      <c r="A203" s="223" t="s">
        <v>313</v>
      </c>
      <c r="B203" s="229"/>
    </row>
    <row r="204" spans="1:6" ht="11.1" customHeight="1" x14ac:dyDescent="0.2">
      <c r="A204" s="223" t="str">
        <f>A4</f>
        <v xml:space="preserve">ГКП "Костанай-Су" акимата города Костаная </v>
      </c>
      <c r="B204" s="229"/>
    </row>
    <row r="205" spans="1:6" ht="11.1" customHeight="1" thickBot="1" x14ac:dyDescent="0.25">
      <c r="A205" s="13"/>
      <c r="B205" s="14"/>
    </row>
    <row r="206" spans="1:6" ht="11.1" customHeight="1" x14ac:dyDescent="0.2">
      <c r="A206" s="230"/>
      <c r="B206" s="232" t="s">
        <v>244</v>
      </c>
      <c r="C206" s="5"/>
      <c r="D206" s="220" t="s">
        <v>533</v>
      </c>
    </row>
    <row r="207" spans="1:6" ht="24" customHeight="1" x14ac:dyDescent="0.2">
      <c r="A207" s="231"/>
      <c r="B207" s="232"/>
      <c r="C207" s="16" t="s">
        <v>523</v>
      </c>
      <c r="D207" s="221"/>
    </row>
    <row r="208" spans="1:6" ht="11.1" customHeight="1" x14ac:dyDescent="0.2">
      <c r="A208" s="2" t="s">
        <v>0</v>
      </c>
      <c r="B208" s="21" t="s">
        <v>478</v>
      </c>
      <c r="C208" s="90">
        <f>C209+C210</f>
        <v>173218673.04999998</v>
      </c>
      <c r="D208" s="90">
        <f>D209+D210</f>
        <v>253085402.75999999</v>
      </c>
    </row>
    <row r="209" spans="1:5" ht="11.1" customHeight="1" x14ac:dyDescent="0.2">
      <c r="A209" s="119"/>
      <c r="B209" s="151" t="s">
        <v>1</v>
      </c>
      <c r="C209" s="115">
        <v>169819938.28999999</v>
      </c>
      <c r="D209" s="116">
        <v>247672454.97</v>
      </c>
    </row>
    <row r="210" spans="1:5" ht="11.1" customHeight="1" x14ac:dyDescent="0.2">
      <c r="A210" s="119"/>
      <c r="B210" s="151" t="s">
        <v>2</v>
      </c>
      <c r="C210" s="87">
        <v>3398734.76</v>
      </c>
      <c r="D210" s="116">
        <v>5412947.79</v>
      </c>
    </row>
    <row r="211" spans="1:5" ht="11.1" customHeight="1" x14ac:dyDescent="0.2">
      <c r="A211" s="2" t="s">
        <v>3</v>
      </c>
      <c r="B211" s="150" t="s">
        <v>82</v>
      </c>
      <c r="C211" s="83">
        <v>45739.1</v>
      </c>
      <c r="D211" s="83">
        <v>68324.3</v>
      </c>
    </row>
    <row r="212" spans="1:5" ht="11.1" customHeight="1" x14ac:dyDescent="0.2">
      <c r="A212" s="2" t="s">
        <v>5</v>
      </c>
      <c r="B212" s="150" t="s">
        <v>251</v>
      </c>
      <c r="C212" s="90">
        <f>C213+C214++C215+C216+C217+C218+C219+C220+C221+C222+C223+C224</f>
        <v>31795965.039999999</v>
      </c>
      <c r="D212" s="90">
        <f>D213+D214+D215+D216+D217+D218+D219+D220+D221+D222+D223+D224</f>
        <v>52350932.510000005</v>
      </c>
    </row>
    <row r="213" spans="1:5" ht="11.1" customHeight="1" x14ac:dyDescent="0.2">
      <c r="A213" s="2"/>
      <c r="B213" s="151" t="s">
        <v>252</v>
      </c>
      <c r="C213" s="32">
        <v>1213481.55</v>
      </c>
      <c r="D213" s="116">
        <f>1917030.16+105209.87</f>
        <v>2022240.0299999998</v>
      </c>
      <c r="E213" s="32"/>
    </row>
    <row r="214" spans="1:5" ht="11.1" customHeight="1" x14ac:dyDescent="0.2">
      <c r="A214" s="119"/>
      <c r="B214" s="151" t="s">
        <v>253</v>
      </c>
      <c r="C214" s="32">
        <v>4005213.17</v>
      </c>
      <c r="D214" s="116">
        <v>8261941.0599999996</v>
      </c>
    </row>
    <row r="215" spans="1:5" ht="11.1" customHeight="1" x14ac:dyDescent="0.2">
      <c r="A215" s="3"/>
      <c r="B215" s="151" t="s">
        <v>254</v>
      </c>
      <c r="C215" s="5"/>
      <c r="D215" s="5"/>
    </row>
    <row r="216" spans="1:5" ht="11.1" customHeight="1" x14ac:dyDescent="0.2">
      <c r="A216" s="3"/>
      <c r="B216" s="151" t="s">
        <v>255</v>
      </c>
      <c r="C216" s="32">
        <v>418669.25</v>
      </c>
      <c r="D216" s="116">
        <v>418669.25</v>
      </c>
    </row>
    <row r="217" spans="1:5" ht="11.1" customHeight="1" x14ac:dyDescent="0.2">
      <c r="A217" s="3"/>
      <c r="B217" s="151" t="s">
        <v>256</v>
      </c>
      <c r="C217" s="32">
        <v>1530198.72</v>
      </c>
      <c r="D217" s="116">
        <v>2303176.4</v>
      </c>
    </row>
    <row r="218" spans="1:5" ht="11.1" customHeight="1" x14ac:dyDescent="0.2">
      <c r="A218" s="3"/>
      <c r="B218" s="151" t="s">
        <v>315</v>
      </c>
      <c r="C218" s="5"/>
      <c r="D218" s="116">
        <v>251251.55</v>
      </c>
    </row>
    <row r="219" spans="1:5" ht="11.1" customHeight="1" x14ac:dyDescent="0.2">
      <c r="A219" s="3"/>
      <c r="B219" s="151" t="s">
        <v>259</v>
      </c>
      <c r="C219" s="32">
        <v>2188565.4</v>
      </c>
      <c r="D219" s="116">
        <v>3779752.61</v>
      </c>
    </row>
    <row r="220" spans="1:5" ht="11.1" customHeight="1" x14ac:dyDescent="0.2">
      <c r="A220" s="3"/>
      <c r="B220" s="151" t="s">
        <v>260</v>
      </c>
      <c r="C220" s="32">
        <v>4084272.05</v>
      </c>
      <c r="D220" s="116">
        <v>6956474.79</v>
      </c>
    </row>
    <row r="221" spans="1:5" ht="11.1" customHeight="1" x14ac:dyDescent="0.2">
      <c r="A221" s="3"/>
      <c r="B221" s="151" t="s">
        <v>263</v>
      </c>
      <c r="C221" s="5"/>
      <c r="D221" s="5"/>
    </row>
    <row r="222" spans="1:5" ht="11.1" customHeight="1" x14ac:dyDescent="0.2">
      <c r="A222" s="3"/>
      <c r="B222" s="151" t="s">
        <v>264</v>
      </c>
      <c r="C222" s="32">
        <v>11897363.66</v>
      </c>
      <c r="D222" s="116">
        <v>16589504.689999999</v>
      </c>
    </row>
    <row r="223" spans="1:5" ht="11.1" customHeight="1" x14ac:dyDescent="0.2">
      <c r="A223" s="3"/>
      <c r="B223" s="151" t="s">
        <v>265</v>
      </c>
      <c r="C223" s="32">
        <v>192167.63</v>
      </c>
      <c r="D223" s="116">
        <v>192167.63</v>
      </c>
    </row>
    <row r="224" spans="1:5" ht="11.1" customHeight="1" x14ac:dyDescent="0.2">
      <c r="A224" s="3"/>
      <c r="B224" s="151" t="s">
        <v>266</v>
      </c>
      <c r="C224" s="32">
        <v>6266033.6100000003</v>
      </c>
      <c r="D224" s="116">
        <v>11575754.5</v>
      </c>
    </row>
    <row r="225" spans="1:4" ht="11.1" customHeight="1" x14ac:dyDescent="0.2">
      <c r="A225" s="2" t="s">
        <v>7</v>
      </c>
      <c r="B225" s="150" t="s">
        <v>267</v>
      </c>
      <c r="C225" s="90">
        <f>C226+C227+C228+C229+C230</f>
        <v>5828253.6399999997</v>
      </c>
      <c r="D225" s="90">
        <f>D226+D227+D228+D229+D230</f>
        <v>10709864.060000001</v>
      </c>
    </row>
    <row r="226" spans="1:4" ht="11.1" customHeight="1" x14ac:dyDescent="0.2">
      <c r="A226" s="119"/>
      <c r="B226" s="151" t="s">
        <v>120</v>
      </c>
      <c r="C226" s="32">
        <v>179596.18</v>
      </c>
      <c r="D226" s="116">
        <v>487277.84</v>
      </c>
    </row>
    <row r="227" spans="1:4" ht="11.1" customHeight="1" x14ac:dyDescent="0.2">
      <c r="A227" s="119"/>
      <c r="B227" s="151" t="s">
        <v>269</v>
      </c>
      <c r="C227" s="5"/>
      <c r="D227" s="116">
        <v>817662.69</v>
      </c>
    </row>
    <row r="228" spans="1:4" ht="11.1" customHeight="1" x14ac:dyDescent="0.2">
      <c r="A228" s="119"/>
      <c r="B228" s="151" t="s">
        <v>268</v>
      </c>
      <c r="C228" s="5"/>
      <c r="D228" s="116">
        <v>180047.44</v>
      </c>
    </row>
    <row r="229" spans="1:4" ht="11.1" customHeight="1" x14ac:dyDescent="0.2">
      <c r="A229" s="119"/>
      <c r="B229" s="151" t="s">
        <v>6</v>
      </c>
      <c r="C229" s="32">
        <v>5648657.46</v>
      </c>
      <c r="D229" s="155">
        <v>9199936.0899999999</v>
      </c>
    </row>
    <row r="230" spans="1:4" ht="11.1" customHeight="1" x14ac:dyDescent="0.2">
      <c r="A230" s="119"/>
      <c r="B230" s="151" t="s">
        <v>546</v>
      </c>
      <c r="C230" s="5"/>
      <c r="D230" s="32">
        <f>[4]TDSheet!F84+[4]TDSheet!F91</f>
        <v>24940</v>
      </c>
    </row>
    <row r="231" spans="1:4" ht="10.5" customHeight="1" x14ac:dyDescent="0.2">
      <c r="A231" s="2" t="s">
        <v>9</v>
      </c>
      <c r="B231" s="150" t="s">
        <v>271</v>
      </c>
      <c r="C231" s="90">
        <f>C232+C233+C234+C235</f>
        <v>12456040.290000001</v>
      </c>
      <c r="D231" s="90">
        <f>D232+D233+D234+D235</f>
        <v>18191397.939999998</v>
      </c>
    </row>
    <row r="232" spans="1:4" ht="11.1" customHeight="1" x14ac:dyDescent="0.2">
      <c r="A232" s="119"/>
      <c r="B232" s="151" t="s">
        <v>327</v>
      </c>
      <c r="C232" s="5"/>
      <c r="D232" s="125">
        <v>544.55999999999995</v>
      </c>
    </row>
    <row r="233" spans="1:4" ht="11.1" customHeight="1" x14ac:dyDescent="0.2">
      <c r="A233" s="119"/>
      <c r="B233" s="151" t="s">
        <v>273</v>
      </c>
      <c r="C233" s="32">
        <v>1584979.57</v>
      </c>
      <c r="D233" s="116">
        <v>2347034.71</v>
      </c>
    </row>
    <row r="234" spans="1:4" ht="11.1" customHeight="1" x14ac:dyDescent="0.2">
      <c r="A234" s="119"/>
      <c r="B234" s="151" t="s">
        <v>274</v>
      </c>
      <c r="C234" s="32">
        <v>997438.84</v>
      </c>
      <c r="D234" s="116">
        <v>1500933.48</v>
      </c>
    </row>
    <row r="235" spans="1:4" ht="11.1" customHeight="1" x14ac:dyDescent="0.2">
      <c r="A235" s="119"/>
      <c r="B235" s="151" t="s">
        <v>272</v>
      </c>
      <c r="C235" s="32">
        <v>9873621.8800000008</v>
      </c>
      <c r="D235" s="116">
        <v>14342885.189999999</v>
      </c>
    </row>
    <row r="236" spans="1:4" ht="11.1" customHeight="1" x14ac:dyDescent="0.2">
      <c r="A236" s="2" t="s">
        <v>10</v>
      </c>
      <c r="B236" s="21" t="s">
        <v>275</v>
      </c>
      <c r="C236" s="90">
        <f>C237+C238+C239+C240+C241+C242+C243+C245+C246+C247+C248+C249+C250+C251+C252+C253+C254+C255+C256+C257+C258+C259+C260+C261+C262+C263+C264+C265+C266+C267+C268+C269+C270+C271+C272+C244</f>
        <v>39601798.510000005</v>
      </c>
      <c r="D236" s="90">
        <f>D237+D238+D239+D240+D241+D242+D243+D244+D245+D246+D247+D248+D249+D250+D251+D252+D253+D254+D255+D256+D257+D258+E244+D260+D261+D262+D263+D264+D265+D266+D267+D268+D269+D270+D271+D272+D273</f>
        <v>68458138.789999992</v>
      </c>
    </row>
    <row r="237" spans="1:4" ht="11.1" customHeight="1" x14ac:dyDescent="0.2">
      <c r="A237" s="2"/>
      <c r="B237" s="48" t="s">
        <v>412</v>
      </c>
      <c r="C237" s="64">
        <v>21377.88</v>
      </c>
      <c r="D237" s="64">
        <v>21377.88</v>
      </c>
    </row>
    <row r="238" spans="1:4" ht="11.1" customHeight="1" x14ac:dyDescent="0.2">
      <c r="A238" s="2"/>
      <c r="B238" s="42" t="s">
        <v>321</v>
      </c>
      <c r="C238" s="5"/>
      <c r="D238" s="5"/>
    </row>
    <row r="239" spans="1:4" ht="11.1" customHeight="1" x14ac:dyDescent="0.2">
      <c r="A239" s="2"/>
      <c r="B239" s="153" t="s">
        <v>8</v>
      </c>
      <c r="C239" s="32">
        <v>1419042.24</v>
      </c>
      <c r="D239" s="116">
        <v>1984230.01</v>
      </c>
    </row>
    <row r="240" spans="1:4" ht="11.1" customHeight="1" x14ac:dyDescent="0.2">
      <c r="A240" s="2"/>
      <c r="B240" s="151" t="s">
        <v>452</v>
      </c>
      <c r="C240" s="32">
        <v>471000</v>
      </c>
      <c r="D240" s="116">
        <v>471000</v>
      </c>
    </row>
    <row r="241" spans="1:5" ht="11.1" customHeight="1" x14ac:dyDescent="0.2">
      <c r="A241" s="2"/>
      <c r="B241" s="153" t="s">
        <v>11</v>
      </c>
      <c r="C241" s="32">
        <v>297973.53000000003</v>
      </c>
      <c r="D241" s="116">
        <v>391432.02</v>
      </c>
    </row>
    <row r="242" spans="1:5" ht="11.1" customHeight="1" x14ac:dyDescent="0.2">
      <c r="A242" s="2"/>
      <c r="B242" s="153" t="s">
        <v>325</v>
      </c>
      <c r="C242" s="32">
        <v>366439.9</v>
      </c>
      <c r="D242" s="116">
        <v>1377333.3</v>
      </c>
    </row>
    <row r="243" spans="1:5" ht="11.1" customHeight="1" x14ac:dyDescent="0.2">
      <c r="A243" s="2"/>
      <c r="B243" s="153" t="s">
        <v>121</v>
      </c>
      <c r="C243" s="32">
        <v>301040</v>
      </c>
      <c r="D243" s="116">
        <v>794580.53</v>
      </c>
    </row>
    <row r="244" spans="1:5" ht="11.1" customHeight="1" x14ac:dyDescent="0.2">
      <c r="A244" s="2"/>
      <c r="B244" s="153" t="s">
        <v>553</v>
      </c>
      <c r="C244" s="32">
        <v>127200</v>
      </c>
      <c r="D244" s="116">
        <f>127200+61658.93</f>
        <v>188858.93</v>
      </c>
      <c r="E244" s="32"/>
    </row>
    <row r="245" spans="1:5" ht="11.1" customHeight="1" x14ac:dyDescent="0.2">
      <c r="A245" s="2"/>
      <c r="B245" s="153" t="s">
        <v>162</v>
      </c>
      <c r="C245" s="32">
        <v>237663.14</v>
      </c>
      <c r="D245" s="116">
        <v>354378.55</v>
      </c>
    </row>
    <row r="246" spans="1:5" ht="23.25" customHeight="1" x14ac:dyDescent="0.2">
      <c r="A246" s="3"/>
      <c r="B246" s="154" t="s">
        <v>414</v>
      </c>
      <c r="C246" s="32">
        <v>592253.57999999996</v>
      </c>
      <c r="D246" s="116">
        <v>991241.73</v>
      </c>
    </row>
    <row r="247" spans="1:5" ht="11.1" customHeight="1" x14ac:dyDescent="0.2">
      <c r="A247" s="3"/>
      <c r="B247" s="151" t="s">
        <v>141</v>
      </c>
      <c r="C247" s="32">
        <v>1595482.03</v>
      </c>
      <c r="D247" s="116">
        <v>1926508.81</v>
      </c>
    </row>
    <row r="248" spans="1:5" ht="11.1" customHeight="1" x14ac:dyDescent="0.2">
      <c r="A248" s="3"/>
      <c r="B248" s="150" t="s">
        <v>524</v>
      </c>
      <c r="C248" s="32">
        <v>1404.02</v>
      </c>
      <c r="D248" s="116">
        <v>1404.02</v>
      </c>
    </row>
    <row r="249" spans="1:5" ht="11.1" customHeight="1" x14ac:dyDescent="0.2">
      <c r="A249" s="3"/>
      <c r="B249" s="48" t="s">
        <v>309</v>
      </c>
      <c r="C249" s="64">
        <v>3842390</v>
      </c>
      <c r="D249" s="64">
        <v>3879800</v>
      </c>
    </row>
    <row r="250" spans="1:5" ht="11.1" customHeight="1" x14ac:dyDescent="0.2">
      <c r="A250" s="3"/>
      <c r="B250" s="153" t="s">
        <v>413</v>
      </c>
      <c r="C250" s="32">
        <v>28380</v>
      </c>
      <c r="D250" s="116">
        <v>43688</v>
      </c>
    </row>
    <row r="251" spans="1:5" ht="11.1" customHeight="1" x14ac:dyDescent="0.2">
      <c r="A251" s="3"/>
      <c r="B251" s="151" t="s">
        <v>282</v>
      </c>
      <c r="C251" s="5"/>
      <c r="D251" s="116">
        <v>101997.7</v>
      </c>
    </row>
    <row r="252" spans="1:5" ht="11.1" customHeight="1" x14ac:dyDescent="0.2">
      <c r="A252" s="3"/>
      <c r="B252" s="153" t="s">
        <v>404</v>
      </c>
      <c r="C252" s="5">
        <v>1035</v>
      </c>
      <c r="D252" s="149">
        <v>90295.85</v>
      </c>
    </row>
    <row r="253" spans="1:5" ht="11.1" customHeight="1" x14ac:dyDescent="0.2">
      <c r="A253" s="3"/>
      <c r="B253" s="48" t="s">
        <v>547</v>
      </c>
      <c r="C253" s="65"/>
      <c r="D253" s="121">
        <v>782304.3</v>
      </c>
    </row>
    <row r="254" spans="1:5" ht="11.1" customHeight="1" x14ac:dyDescent="0.2">
      <c r="A254" s="3"/>
      <c r="B254" s="48" t="s">
        <v>157</v>
      </c>
      <c r="C254" s="64">
        <v>9393386.5299999993</v>
      </c>
      <c r="D254" s="64">
        <v>14381226.58</v>
      </c>
    </row>
    <row r="255" spans="1:5" ht="11.1" customHeight="1" x14ac:dyDescent="0.2">
      <c r="A255" s="3"/>
      <c r="B255" s="22" t="s">
        <v>317</v>
      </c>
      <c r="C255" s="5"/>
      <c r="D255" s="5"/>
    </row>
    <row r="256" spans="1:5" ht="11.1" customHeight="1" x14ac:dyDescent="0.2">
      <c r="A256" s="3"/>
      <c r="B256" s="151" t="s">
        <v>403</v>
      </c>
      <c r="C256" s="32">
        <v>69000</v>
      </c>
      <c r="D256" s="116">
        <v>69000</v>
      </c>
    </row>
    <row r="257" spans="1:6" ht="11.1" customHeight="1" x14ac:dyDescent="0.2">
      <c r="A257" s="3"/>
      <c r="B257" s="22" t="s">
        <v>318</v>
      </c>
      <c r="C257" s="5"/>
      <c r="D257" s="5"/>
    </row>
    <row r="258" spans="1:6" ht="11.1" customHeight="1" x14ac:dyDescent="0.2">
      <c r="A258" s="3"/>
      <c r="B258" s="151" t="s">
        <v>276</v>
      </c>
      <c r="C258" s="32">
        <v>53120</v>
      </c>
      <c r="D258" s="116">
        <v>123617.33</v>
      </c>
      <c r="E258" s="9"/>
    </row>
    <row r="259" spans="1:6" ht="11.1" customHeight="1" x14ac:dyDescent="0.2">
      <c r="A259" s="3"/>
      <c r="B259" s="22" t="s">
        <v>319</v>
      </c>
      <c r="C259" s="5"/>
    </row>
    <row r="260" spans="1:6" ht="11.1" customHeight="1" x14ac:dyDescent="0.2">
      <c r="A260" s="3"/>
      <c r="B260" s="153" t="s">
        <v>389</v>
      </c>
      <c r="C260" s="32">
        <v>17039518.940000001</v>
      </c>
      <c r="D260" s="116">
        <v>27693676.949999999</v>
      </c>
    </row>
    <row r="261" spans="1:6" ht="11.1" customHeight="1" x14ac:dyDescent="0.2">
      <c r="A261" s="3"/>
      <c r="B261" s="151" t="s">
        <v>281</v>
      </c>
      <c r="C261" s="32">
        <v>10350</v>
      </c>
      <c r="D261" s="116">
        <v>10350</v>
      </c>
    </row>
    <row r="262" spans="1:6" ht="11.1" customHeight="1" x14ac:dyDescent="0.2">
      <c r="A262" s="3"/>
      <c r="B262" s="151" t="s">
        <v>545</v>
      </c>
      <c r="C262" s="5"/>
      <c r="D262" s="116">
        <v>83650.509999999995</v>
      </c>
    </row>
    <row r="263" spans="1:6" ht="11.1" customHeight="1" x14ac:dyDescent="0.2">
      <c r="A263" s="3"/>
      <c r="B263" s="151" t="s">
        <v>270</v>
      </c>
      <c r="C263" s="5"/>
      <c r="D263" s="32">
        <v>458210</v>
      </c>
      <c r="E263" s="9">
        <f>D263+D261</f>
        <v>468560</v>
      </c>
    </row>
    <row r="264" spans="1:6" ht="11.1" customHeight="1" x14ac:dyDescent="0.2">
      <c r="A264" s="3"/>
      <c r="B264" s="48" t="s">
        <v>278</v>
      </c>
      <c r="C264" s="64">
        <v>312509.14</v>
      </c>
      <c r="D264" s="64">
        <v>885897.32</v>
      </c>
    </row>
    <row r="265" spans="1:6" ht="11.1" customHeight="1" x14ac:dyDescent="0.2">
      <c r="A265" s="3"/>
      <c r="B265" s="48" t="s">
        <v>279</v>
      </c>
      <c r="C265" s="64">
        <v>1508791.26</v>
      </c>
      <c r="D265" s="64">
        <v>5678273.0099999998</v>
      </c>
    </row>
    <row r="266" spans="1:6" ht="11.1" customHeight="1" x14ac:dyDescent="0.2">
      <c r="A266" s="3"/>
      <c r="B266" s="48" t="s">
        <v>280</v>
      </c>
      <c r="C266" s="64">
        <v>1781741.32</v>
      </c>
      <c r="D266" s="64">
        <v>3976352.46</v>
      </c>
    </row>
    <row r="267" spans="1:6" ht="11.1" customHeight="1" x14ac:dyDescent="0.2">
      <c r="A267" s="3"/>
      <c r="B267" s="48" t="s">
        <v>491</v>
      </c>
      <c r="C267" s="65"/>
      <c r="D267" s="65"/>
    </row>
    <row r="268" spans="1:6" ht="11.1" customHeight="1" x14ac:dyDescent="0.2">
      <c r="A268" s="3"/>
      <c r="B268" s="66" t="s">
        <v>492</v>
      </c>
      <c r="C268" s="64">
        <v>45264</v>
      </c>
      <c r="D268" s="64">
        <v>45264</v>
      </c>
      <c r="E268" s="9"/>
      <c r="F268" s="9">
        <f>D269+D268+D267+D266+D265+D264+D254+D253+D249+D237</f>
        <v>31108308.049999997</v>
      </c>
    </row>
    <row r="269" spans="1:6" ht="11.1" customHeight="1" x14ac:dyDescent="0.2">
      <c r="A269" s="3"/>
      <c r="B269" s="48" t="s">
        <v>423</v>
      </c>
      <c r="C269" s="65"/>
      <c r="D269" s="64">
        <v>1457812.5</v>
      </c>
    </row>
    <row r="270" spans="1:6" ht="11.1" customHeight="1" x14ac:dyDescent="0.2">
      <c r="A270" s="3"/>
      <c r="B270" s="151" t="s">
        <v>126</v>
      </c>
      <c r="C270" s="32">
        <v>85436</v>
      </c>
      <c r="D270" s="32">
        <v>156536.5</v>
      </c>
    </row>
    <row r="271" spans="1:6" ht="11.1" customHeight="1" x14ac:dyDescent="0.2">
      <c r="A271" s="3"/>
      <c r="B271" s="22" t="s">
        <v>320</v>
      </c>
      <c r="C271" s="5"/>
      <c r="D271" s="5"/>
    </row>
    <row r="272" spans="1:6" ht="11.1" customHeight="1" x14ac:dyDescent="0.2">
      <c r="A272" s="3"/>
      <c r="B272" s="22" t="s">
        <v>277</v>
      </c>
      <c r="C272" s="5"/>
      <c r="D272" s="5"/>
    </row>
    <row r="273" spans="1:5" ht="11.1" customHeight="1" x14ac:dyDescent="0.2">
      <c r="A273" s="3"/>
      <c r="B273" s="151" t="s">
        <v>548</v>
      </c>
      <c r="C273" s="126"/>
      <c r="D273" s="32">
        <v>37840</v>
      </c>
    </row>
    <row r="274" spans="1:5" ht="11.1" customHeight="1" x14ac:dyDescent="0.2">
      <c r="A274" s="2">
        <v>7</v>
      </c>
      <c r="B274" s="150" t="s">
        <v>18</v>
      </c>
      <c r="C274" s="83">
        <v>43038455.359999999</v>
      </c>
      <c r="D274" s="83">
        <v>65479392.439999998</v>
      </c>
    </row>
    <row r="275" spans="1:5" ht="11.1" customHeight="1" x14ac:dyDescent="0.2">
      <c r="A275" s="2">
        <v>8</v>
      </c>
      <c r="B275" s="150" t="s">
        <v>390</v>
      </c>
      <c r="C275" s="90">
        <f>C276+C277+C278</f>
        <v>271146.71000000002</v>
      </c>
      <c r="D275" s="90">
        <f>D276+D277+D278</f>
        <v>422895.13</v>
      </c>
    </row>
    <row r="276" spans="1:5" ht="11.1" customHeight="1" x14ac:dyDescent="0.2">
      <c r="A276" s="2"/>
      <c r="B276" s="151" t="s">
        <v>427</v>
      </c>
      <c r="C276" s="5">
        <v>84934.41</v>
      </c>
      <c r="D276" s="32">
        <v>126262.24</v>
      </c>
    </row>
    <row r="277" spans="1:5" ht="11.1" customHeight="1" x14ac:dyDescent="0.2">
      <c r="A277" s="2"/>
      <c r="B277" s="151" t="s">
        <v>378</v>
      </c>
      <c r="C277" s="5">
        <v>185648.42</v>
      </c>
      <c r="D277" s="32">
        <v>296069.01</v>
      </c>
    </row>
    <row r="278" spans="1:5" ht="11.1" customHeight="1" x14ac:dyDescent="0.2">
      <c r="A278" s="2"/>
      <c r="B278" s="151" t="s">
        <v>451</v>
      </c>
      <c r="C278" s="34">
        <v>563.88</v>
      </c>
      <c r="D278" s="34">
        <v>563.88</v>
      </c>
    </row>
    <row r="279" spans="1:5" ht="11.1" customHeight="1" x14ac:dyDescent="0.2">
      <c r="A279" s="2">
        <v>9</v>
      </c>
      <c r="B279" s="150" t="s">
        <v>293</v>
      </c>
      <c r="C279" s="90">
        <f>C280+C281+C282</f>
        <v>514634.36</v>
      </c>
      <c r="D279" s="90">
        <f>D280+D281+D282</f>
        <v>835869.56</v>
      </c>
    </row>
    <row r="280" spans="1:5" ht="11.1" customHeight="1" x14ac:dyDescent="0.2">
      <c r="A280" s="2"/>
      <c r="B280" s="151" t="s">
        <v>382</v>
      </c>
      <c r="C280" s="32">
        <v>167494.5</v>
      </c>
      <c r="D280" s="32">
        <v>282075.21000000002</v>
      </c>
    </row>
    <row r="281" spans="1:5" ht="11.1" customHeight="1" x14ac:dyDescent="0.2">
      <c r="A281" s="2"/>
      <c r="B281" s="151" t="s">
        <v>294</v>
      </c>
      <c r="C281" s="32">
        <v>95979.86</v>
      </c>
      <c r="D281" s="32">
        <v>95979.86</v>
      </c>
    </row>
    <row r="282" spans="1:5" ht="11.1" customHeight="1" x14ac:dyDescent="0.2">
      <c r="A282" s="2"/>
      <c r="B282" s="151" t="s">
        <v>383</v>
      </c>
      <c r="C282" s="32">
        <v>251160</v>
      </c>
      <c r="D282" s="32">
        <v>457814.49</v>
      </c>
    </row>
    <row r="283" spans="1:5" ht="11.1" customHeight="1" x14ac:dyDescent="0.2">
      <c r="A283" s="2">
        <v>10</v>
      </c>
      <c r="B283" s="150" t="s">
        <v>453</v>
      </c>
      <c r="C283" s="117">
        <v>62024.88</v>
      </c>
      <c r="D283" s="83">
        <f>[4]TDSheet!F133+[4]TDSheet!F134+[4]TDSheet!F135</f>
        <v>257875.37</v>
      </c>
    </row>
    <row r="284" spans="1:5" ht="11.1" customHeight="1" x14ac:dyDescent="0.2">
      <c r="A284" s="2">
        <v>11</v>
      </c>
      <c r="B284" s="150" t="s">
        <v>379</v>
      </c>
      <c r="C284" s="32">
        <v>44082.12</v>
      </c>
      <c r="D284" s="83">
        <v>66367.77</v>
      </c>
    </row>
    <row r="285" spans="1:5" ht="11.1" customHeight="1" x14ac:dyDescent="0.2">
      <c r="A285" s="2">
        <v>12</v>
      </c>
      <c r="B285" s="150" t="s">
        <v>392</v>
      </c>
      <c r="C285" s="32">
        <v>9835159.3000000007</v>
      </c>
      <c r="D285" s="83">
        <v>14716095.25</v>
      </c>
    </row>
    <row r="286" spans="1:5" ht="11.1" customHeight="1" x14ac:dyDescent="0.2">
      <c r="A286" s="2">
        <v>13</v>
      </c>
      <c r="B286" s="150" t="s">
        <v>28</v>
      </c>
      <c r="C286" s="32">
        <v>268530306.81</v>
      </c>
      <c r="D286" s="83">
        <f>4657.29+394522111.05</f>
        <v>394526768.34000003</v>
      </c>
      <c r="E286" s="32"/>
    </row>
    <row r="287" spans="1:5" ht="11.1" customHeight="1" x14ac:dyDescent="0.2">
      <c r="A287" s="2">
        <v>14</v>
      </c>
      <c r="B287" s="152" t="s">
        <v>377</v>
      </c>
      <c r="C287" s="32">
        <v>305448626.74000001</v>
      </c>
      <c r="D287" s="83">
        <v>454809022.70999998</v>
      </c>
    </row>
    <row r="288" spans="1:5" ht="11.1" customHeight="1" x14ac:dyDescent="0.2">
      <c r="A288" s="2">
        <v>15</v>
      </c>
      <c r="B288" s="152" t="s">
        <v>426</v>
      </c>
      <c r="C288" s="32">
        <v>30542057.629999999</v>
      </c>
      <c r="D288" s="83">
        <f>[4]TDSheet!F119+[4]TDSheet!F120</f>
        <v>44898198.130000003</v>
      </c>
    </row>
    <row r="289" spans="1:6" ht="30" customHeight="1" x14ac:dyDescent="0.2">
      <c r="A289" s="2">
        <v>16</v>
      </c>
      <c r="B289" s="25" t="s">
        <v>285</v>
      </c>
      <c r="C289" s="92">
        <f>C288+C287+C286+C285+C284+C283+C279+C275+C274+C236+C231+C225+C212+C211+C208</f>
        <v>921232963.53999996</v>
      </c>
      <c r="D289" s="92">
        <f>D288+D287+D286+D285+D284+D279+D275+D274+D236+D231+D225+D212+D211+D208+D283</f>
        <v>1378876545.0599997</v>
      </c>
      <c r="E289" s="9"/>
      <c r="F289" s="9"/>
    </row>
    <row r="290" spans="1:6" ht="11.1" customHeight="1" x14ac:dyDescent="0.2">
      <c r="A290" s="2"/>
      <c r="B290" s="28"/>
      <c r="D290" s="85"/>
    </row>
    <row r="291" spans="1:6" ht="11.1" customHeight="1" x14ac:dyDescent="0.2">
      <c r="A291" s="2"/>
      <c r="B291" s="28"/>
    </row>
    <row r="292" spans="1:6" ht="11.1" customHeight="1" x14ac:dyDescent="0.2">
      <c r="A292" s="2"/>
      <c r="B292" s="29" t="s">
        <v>415</v>
      </c>
    </row>
    <row r="293" spans="1:6" ht="11.1" customHeight="1" x14ac:dyDescent="0.2">
      <c r="A293" s="2" t="s">
        <v>0</v>
      </c>
      <c r="B293" s="21" t="s">
        <v>286</v>
      </c>
      <c r="C293" s="90">
        <f>C294+C295</f>
        <v>1124327.04</v>
      </c>
      <c r="D293" s="10">
        <f>D294+D295</f>
        <v>1776178.55</v>
      </c>
    </row>
    <row r="294" spans="1:6" ht="11.1" customHeight="1" x14ac:dyDescent="0.2">
      <c r="A294" s="119"/>
      <c r="B294" s="22" t="s">
        <v>1</v>
      </c>
      <c r="C294" s="114">
        <v>460010.44</v>
      </c>
      <c r="D294" s="32">
        <v>707192.02</v>
      </c>
    </row>
    <row r="295" spans="1:6" ht="11.1" customHeight="1" x14ac:dyDescent="0.2">
      <c r="A295" s="119"/>
      <c r="B295" s="22" t="s">
        <v>287</v>
      </c>
      <c r="C295" s="32">
        <v>664316.6</v>
      </c>
      <c r="D295" s="32">
        <v>1068986.53</v>
      </c>
    </row>
    <row r="296" spans="1:6" ht="11.1" customHeight="1" x14ac:dyDescent="0.2">
      <c r="A296" s="2" t="s">
        <v>3</v>
      </c>
      <c r="B296" s="21" t="s">
        <v>293</v>
      </c>
      <c r="C296" s="90">
        <f>C297+C298+C299</f>
        <v>75530.84</v>
      </c>
      <c r="D296" s="10">
        <f>D297+D298+D299+D300</f>
        <v>83323.11</v>
      </c>
    </row>
    <row r="297" spans="1:6" ht="11.1" customHeight="1" x14ac:dyDescent="0.2">
      <c r="A297" s="119"/>
      <c r="B297" s="22" t="s">
        <v>294</v>
      </c>
      <c r="C297" s="32">
        <v>11986.74</v>
      </c>
      <c r="D297" s="32">
        <v>11986.74</v>
      </c>
    </row>
    <row r="298" spans="1:6" ht="11.1" customHeight="1" x14ac:dyDescent="0.2">
      <c r="A298" s="119"/>
      <c r="B298" s="22" t="s">
        <v>295</v>
      </c>
      <c r="C298" s="32">
        <v>31155.5</v>
      </c>
      <c r="D298" s="32">
        <v>31155.5</v>
      </c>
    </row>
    <row r="299" spans="1:6" ht="11.1" customHeight="1" x14ac:dyDescent="0.2">
      <c r="A299" s="119"/>
      <c r="B299" s="22" t="s">
        <v>296</v>
      </c>
      <c r="C299" s="32">
        <v>32388.6</v>
      </c>
      <c r="D299" s="32">
        <v>40180.870000000003</v>
      </c>
    </row>
    <row r="300" spans="1:6" ht="11.1" customHeight="1" x14ac:dyDescent="0.2">
      <c r="A300" s="119"/>
      <c r="B300" s="22" t="s">
        <v>297</v>
      </c>
      <c r="C300" s="60"/>
      <c r="D300" s="5"/>
    </row>
    <row r="301" spans="1:6" ht="11.1" customHeight="1" x14ac:dyDescent="0.2">
      <c r="A301" s="2" t="s">
        <v>5</v>
      </c>
      <c r="B301" s="21" t="s">
        <v>298</v>
      </c>
      <c r="C301" s="90">
        <f>C302+C303+C304+C305</f>
        <v>90530249.970000014</v>
      </c>
      <c r="D301" s="10">
        <f>D302+D303+D304+D305</f>
        <v>135040510.97</v>
      </c>
    </row>
    <row r="302" spans="1:6" ht="11.1" customHeight="1" x14ac:dyDescent="0.2">
      <c r="A302" s="119"/>
      <c r="B302" s="22" t="s">
        <v>299</v>
      </c>
      <c r="C302" s="32">
        <v>407100.51</v>
      </c>
      <c r="D302" s="32">
        <v>542163.59</v>
      </c>
    </row>
    <row r="303" spans="1:6" ht="11.1" customHeight="1" x14ac:dyDescent="0.2">
      <c r="A303" s="119"/>
      <c r="B303" s="22" t="s">
        <v>300</v>
      </c>
      <c r="C303" s="32">
        <v>88698079.760000005</v>
      </c>
      <c r="D303" s="32">
        <v>133047119.66</v>
      </c>
    </row>
    <row r="304" spans="1:6" ht="11.1" customHeight="1" x14ac:dyDescent="0.2">
      <c r="A304" s="119"/>
      <c r="B304" s="22" t="s">
        <v>301</v>
      </c>
      <c r="C304" s="32">
        <v>29463</v>
      </c>
      <c r="D304" s="32">
        <v>55621.02</v>
      </c>
    </row>
    <row r="305" spans="1:5" ht="11.1" customHeight="1" x14ac:dyDescent="0.2">
      <c r="A305" s="119"/>
      <c r="B305" s="22" t="s">
        <v>497</v>
      </c>
      <c r="C305" s="96">
        <f>[5]TDSheet!D93+[5]TDSheet!D134</f>
        <v>1395606.7</v>
      </c>
      <c r="D305" s="32">
        <f>1395351.78+254.92</f>
        <v>1395606.7</v>
      </c>
      <c r="E305" s="34"/>
    </row>
    <row r="306" spans="1:5" ht="11.1" customHeight="1" x14ac:dyDescent="0.2">
      <c r="A306" s="2" t="s">
        <v>7</v>
      </c>
      <c r="B306" s="21" t="s">
        <v>303</v>
      </c>
      <c r="C306" s="90">
        <f>C307</f>
        <v>281682.78000000003</v>
      </c>
      <c r="D306" s="10">
        <f>D307+D308+D309</f>
        <v>308008.95</v>
      </c>
    </row>
    <row r="307" spans="1:5" ht="11.1" customHeight="1" x14ac:dyDescent="0.2">
      <c r="A307" s="119"/>
      <c r="B307" s="22" t="s">
        <v>304</v>
      </c>
      <c r="C307" s="32">
        <v>281682.78000000003</v>
      </c>
      <c r="D307" s="32">
        <v>308008.95</v>
      </c>
    </row>
    <row r="308" spans="1:5" ht="11.1" customHeight="1" x14ac:dyDescent="0.2">
      <c r="A308" s="119"/>
      <c r="B308" s="22" t="s">
        <v>305</v>
      </c>
      <c r="C308" s="60"/>
      <c r="D308" s="5"/>
    </row>
    <row r="309" spans="1:5" ht="11.1" customHeight="1" x14ac:dyDescent="0.2">
      <c r="A309" s="119"/>
      <c r="B309" s="22" t="s">
        <v>306</v>
      </c>
      <c r="C309" s="60"/>
      <c r="D309" s="5"/>
    </row>
    <row r="310" spans="1:5" ht="11.1" customHeight="1" x14ac:dyDescent="0.2">
      <c r="A310" s="2" t="s">
        <v>9</v>
      </c>
      <c r="B310" s="21" t="s">
        <v>322</v>
      </c>
      <c r="C310" s="90">
        <f>C311+C312+C313+C314+C315</f>
        <v>372622.81000000006</v>
      </c>
      <c r="D310" s="10">
        <f>D311+D312+D313+D314+D315</f>
        <v>720177.84</v>
      </c>
    </row>
    <row r="311" spans="1:5" ht="11.1" customHeight="1" x14ac:dyDescent="0.2">
      <c r="A311" s="119"/>
      <c r="B311" s="22" t="s">
        <v>289</v>
      </c>
      <c r="C311" s="32">
        <v>84075.03</v>
      </c>
      <c r="D311" s="32">
        <v>125014.99</v>
      </c>
    </row>
    <row r="312" spans="1:5" ht="11.1" customHeight="1" x14ac:dyDescent="0.2">
      <c r="A312" s="119"/>
      <c r="B312" s="22" t="s">
        <v>290</v>
      </c>
      <c r="C312" s="32">
        <v>178405.98</v>
      </c>
      <c r="D312" s="32">
        <v>433576.99</v>
      </c>
    </row>
    <row r="313" spans="1:5" ht="11.1" customHeight="1" x14ac:dyDescent="0.2">
      <c r="A313" s="3"/>
      <c r="B313" s="22" t="s">
        <v>323</v>
      </c>
      <c r="C313" s="32">
        <v>8956.7800000000007</v>
      </c>
      <c r="D313" s="32">
        <f>1674.04+13402.33</f>
        <v>15076.369999999999</v>
      </c>
      <c r="E313" s="32"/>
    </row>
    <row r="314" spans="1:5" ht="11.1" customHeight="1" x14ac:dyDescent="0.2">
      <c r="A314" s="3"/>
      <c r="B314" s="22" t="s">
        <v>292</v>
      </c>
      <c r="C314" s="32">
        <v>88838.58</v>
      </c>
      <c r="D314" s="32">
        <v>128204.35</v>
      </c>
    </row>
    <row r="315" spans="1:5" ht="11.1" customHeight="1" x14ac:dyDescent="0.2">
      <c r="A315" s="3"/>
      <c r="B315" s="22" t="s">
        <v>16</v>
      </c>
      <c r="C315" s="32">
        <v>12346.44</v>
      </c>
      <c r="D315" s="32">
        <v>18305.14</v>
      </c>
    </row>
    <row r="316" spans="1:5" ht="11.1" customHeight="1" x14ac:dyDescent="0.2">
      <c r="A316" s="2" t="s">
        <v>10</v>
      </c>
      <c r="B316" s="21" t="s">
        <v>324</v>
      </c>
      <c r="C316" s="90">
        <f>C317+C319+C320+C321+C322+C323+C324+C325+C326+C327+C328+C329+C330+C331+C332+C333+C334+C335+C336+C337+C338+C339+C340</f>
        <v>4414618.1400000006</v>
      </c>
      <c r="D316" s="10">
        <f>D317+D319+D320+D321+D322+D323+D324+D325+D326+D327+D328+D329+D330+D331+D332+D333+D334+D335+D336+D337+D338+D339+D340+D341</f>
        <v>7394279.3800000018</v>
      </c>
    </row>
    <row r="317" spans="1:5" ht="11.1" customHeight="1" x14ac:dyDescent="0.2">
      <c r="A317" s="11"/>
      <c r="B317" s="22" t="s">
        <v>15</v>
      </c>
      <c r="C317" s="32">
        <v>668650</v>
      </c>
      <c r="D317" s="32">
        <v>668650</v>
      </c>
    </row>
    <row r="318" spans="1:5" ht="11.1" hidden="1" customHeight="1" x14ac:dyDescent="0.2">
      <c r="A318" s="11"/>
      <c r="B318" s="22" t="s">
        <v>308</v>
      </c>
      <c r="C318" s="60"/>
      <c r="D318" s="5"/>
    </row>
    <row r="319" spans="1:5" ht="11.1" customHeight="1" x14ac:dyDescent="0.2">
      <c r="A319" s="11"/>
      <c r="B319" s="48" t="s">
        <v>410</v>
      </c>
      <c r="C319" s="64">
        <v>7105.75</v>
      </c>
      <c r="D319" s="64">
        <v>14349.1</v>
      </c>
    </row>
    <row r="320" spans="1:5" ht="11.1" customHeight="1" x14ac:dyDescent="0.2">
      <c r="A320" s="11"/>
      <c r="B320" s="22" t="s">
        <v>8</v>
      </c>
      <c r="C320" s="32">
        <v>19150.86</v>
      </c>
      <c r="D320" s="32">
        <v>41602.870000000003</v>
      </c>
    </row>
    <row r="321" spans="1:5" ht="11.1" customHeight="1" x14ac:dyDescent="0.2">
      <c r="A321" s="11"/>
      <c r="B321" s="48" t="s">
        <v>424</v>
      </c>
      <c r="C321" s="64">
        <v>37410</v>
      </c>
      <c r="D321" s="64">
        <v>878823.76</v>
      </c>
    </row>
    <row r="322" spans="1:5" ht="11.1" customHeight="1" x14ac:dyDescent="0.2">
      <c r="A322" s="11"/>
      <c r="B322" s="42" t="s">
        <v>11</v>
      </c>
      <c r="C322" s="32">
        <v>446075.31</v>
      </c>
      <c r="D322" s="32">
        <v>619943.01</v>
      </c>
    </row>
    <row r="323" spans="1:5" ht="11.1" customHeight="1" x14ac:dyDescent="0.2">
      <c r="A323" s="3"/>
      <c r="B323" s="48" t="s">
        <v>279</v>
      </c>
      <c r="C323" s="64">
        <v>6689.77</v>
      </c>
      <c r="D323" s="64">
        <v>6689.77</v>
      </c>
    </row>
    <row r="324" spans="1:5" ht="11.1" customHeight="1" x14ac:dyDescent="0.2">
      <c r="A324" s="3"/>
      <c r="B324" s="42" t="s">
        <v>6</v>
      </c>
      <c r="C324" s="32">
        <v>13530.43</v>
      </c>
      <c r="D324" s="32">
        <v>55493.79</v>
      </c>
    </row>
    <row r="325" spans="1:5" ht="11.1" customHeight="1" x14ac:dyDescent="0.2">
      <c r="A325" s="3"/>
      <c r="B325" s="42" t="s">
        <v>157</v>
      </c>
      <c r="C325" s="32">
        <v>758619.84</v>
      </c>
      <c r="D325" s="32">
        <v>1348781.01</v>
      </c>
    </row>
    <row r="326" spans="1:5" ht="11.1" customHeight="1" x14ac:dyDescent="0.2">
      <c r="A326" s="3"/>
      <c r="B326" s="42" t="s">
        <v>493</v>
      </c>
      <c r="C326" s="32">
        <v>207545.52</v>
      </c>
      <c r="D326" s="32">
        <v>314635.09999999998</v>
      </c>
    </row>
    <row r="327" spans="1:5" ht="11.1" customHeight="1" x14ac:dyDescent="0.2">
      <c r="A327" s="3"/>
      <c r="B327" s="42" t="s">
        <v>120</v>
      </c>
      <c r="C327" s="32">
        <v>597184</v>
      </c>
      <c r="D327" s="32">
        <v>688907.3</v>
      </c>
    </row>
    <row r="328" spans="1:5" ht="11.1" customHeight="1" x14ac:dyDescent="0.2">
      <c r="A328" s="3"/>
      <c r="B328" s="48" t="s">
        <v>551</v>
      </c>
      <c r="C328" s="64">
        <v>51600</v>
      </c>
      <c r="D328" s="64">
        <f>86483.32+26843.13</f>
        <v>113326.45000000001</v>
      </c>
      <c r="E328" s="32"/>
    </row>
    <row r="329" spans="1:5" ht="11.25" customHeight="1" x14ac:dyDescent="0.2">
      <c r="A329" s="3"/>
      <c r="B329" s="50" t="s">
        <v>384</v>
      </c>
      <c r="C329" s="32">
        <v>87317.57</v>
      </c>
      <c r="D329" s="32">
        <v>233639.08</v>
      </c>
    </row>
    <row r="330" spans="1:5" ht="11.25" customHeight="1" x14ac:dyDescent="0.2">
      <c r="A330" s="3"/>
      <c r="B330" s="50" t="s">
        <v>12</v>
      </c>
      <c r="C330" s="32">
        <v>153513.21</v>
      </c>
      <c r="D330" s="32">
        <v>221411.12</v>
      </c>
    </row>
    <row r="331" spans="1:5" ht="11.1" customHeight="1" x14ac:dyDescent="0.2">
      <c r="A331" s="3"/>
      <c r="B331" s="50" t="s">
        <v>394</v>
      </c>
      <c r="C331" s="32">
        <f>[5]TDSheet!D117+[5]TDSheet!D118</f>
        <v>389528.78</v>
      </c>
      <c r="D331" s="32">
        <f>[2]TDSheet!F127+[2]TDSheet!F128</f>
        <v>558407.01</v>
      </c>
    </row>
    <row r="332" spans="1:5" ht="11.1" customHeight="1" x14ac:dyDescent="0.2">
      <c r="A332" s="3"/>
      <c r="B332" s="49" t="s">
        <v>280</v>
      </c>
      <c r="C332" s="64">
        <v>61337.22</v>
      </c>
      <c r="D332" s="64">
        <v>72228.63</v>
      </c>
    </row>
    <row r="333" spans="1:5" ht="11.1" customHeight="1" x14ac:dyDescent="0.2">
      <c r="B333" s="55" t="s">
        <v>428</v>
      </c>
      <c r="C333" s="64">
        <v>165120</v>
      </c>
      <c r="D333" s="64">
        <v>165120</v>
      </c>
    </row>
    <row r="334" spans="1:5" ht="11.1" customHeight="1" x14ac:dyDescent="0.2">
      <c r="A334" s="3"/>
      <c r="B334" s="22" t="s">
        <v>258</v>
      </c>
      <c r="C334" s="32">
        <v>327648.03999999998</v>
      </c>
      <c r="D334" s="32">
        <v>660922.74</v>
      </c>
    </row>
    <row r="335" spans="1:5" ht="11.1" customHeight="1" x14ac:dyDescent="0.2">
      <c r="A335" s="3"/>
      <c r="B335" s="48" t="s">
        <v>416</v>
      </c>
      <c r="C335" s="64">
        <v>28380</v>
      </c>
      <c r="D335" s="64">
        <v>28380</v>
      </c>
    </row>
    <row r="336" spans="1:5" ht="11.1" customHeight="1" x14ac:dyDescent="0.2">
      <c r="A336" s="3"/>
      <c r="B336" s="42" t="s">
        <v>417</v>
      </c>
      <c r="C336" s="32">
        <v>17614.509999999998</v>
      </c>
      <c r="D336" s="32">
        <v>29092.19</v>
      </c>
    </row>
    <row r="337" spans="1:6" ht="11.1" customHeight="1" x14ac:dyDescent="0.2">
      <c r="A337" s="3"/>
      <c r="B337" s="42" t="s">
        <v>550</v>
      </c>
      <c r="C337" s="32">
        <v>75123.45</v>
      </c>
      <c r="D337" s="32">
        <f>76583.1+41280</f>
        <v>117863.1</v>
      </c>
      <c r="E337" s="32"/>
    </row>
    <row r="338" spans="1:6" ht="11.1" customHeight="1" x14ac:dyDescent="0.2">
      <c r="A338" s="3"/>
      <c r="B338" s="42" t="s">
        <v>127</v>
      </c>
      <c r="C338" s="32">
        <v>40490.730000000003</v>
      </c>
      <c r="D338" s="32">
        <v>40490.730000000003</v>
      </c>
    </row>
    <row r="339" spans="1:6" ht="11.1" customHeight="1" x14ac:dyDescent="0.2">
      <c r="A339" s="3"/>
      <c r="B339" s="42" t="s">
        <v>325</v>
      </c>
      <c r="C339" s="32">
        <v>214357.61</v>
      </c>
      <c r="D339" s="32">
        <v>470999.68</v>
      </c>
    </row>
    <row r="340" spans="1:6" ht="11.1" customHeight="1" x14ac:dyDescent="0.2">
      <c r="B340" s="56" t="s">
        <v>487</v>
      </c>
      <c r="C340" s="64">
        <f>[5]TDSheet!D97+[5]TDSheet!D98+[5]TDSheet!D99</f>
        <v>40625.54</v>
      </c>
      <c r="D340" s="64">
        <f>[2]TDSheet!F105+[2]TDSheet!F106+[2]TDSheet!F104</f>
        <v>40625.54</v>
      </c>
      <c r="E340" s="9">
        <f>D340+D335+D333+D332+D328+D323+D321+D319+D341</f>
        <v>1323440.6500000001</v>
      </c>
    </row>
    <row r="341" spans="1:6" ht="11.1" customHeight="1" x14ac:dyDescent="0.2">
      <c r="A341" s="3"/>
      <c r="B341" s="222" t="s">
        <v>549</v>
      </c>
      <c r="C341" s="222"/>
      <c r="D341" s="64">
        <v>3897.4</v>
      </c>
      <c r="E341" s="127"/>
    </row>
    <row r="342" spans="1:6" ht="11.1" customHeight="1" x14ac:dyDescent="0.2">
      <c r="A342" s="2">
        <v>7</v>
      </c>
      <c r="B342" s="43" t="s">
        <v>437</v>
      </c>
      <c r="C342" s="90">
        <f>C343+C344</f>
        <v>1328066.8399999999</v>
      </c>
      <c r="D342" s="10">
        <f>D343+D344</f>
        <v>1970991.63</v>
      </c>
    </row>
    <row r="343" spans="1:6" ht="11.1" customHeight="1" x14ac:dyDescent="0.2">
      <c r="A343" s="3"/>
      <c r="B343" s="22" t="s">
        <v>418</v>
      </c>
      <c r="C343" s="32">
        <v>140823.85999999999</v>
      </c>
      <c r="D343" s="32">
        <v>199812.69</v>
      </c>
    </row>
    <row r="344" spans="1:6" ht="11.1" customHeight="1" x14ac:dyDescent="0.2">
      <c r="A344" s="3"/>
      <c r="B344" s="22" t="s">
        <v>395</v>
      </c>
      <c r="C344" s="32">
        <v>1187242.98</v>
      </c>
      <c r="D344" s="32">
        <v>1771178.94</v>
      </c>
    </row>
    <row r="345" spans="1:6" ht="11.1" customHeight="1" x14ac:dyDescent="0.2">
      <c r="A345" s="2">
        <v>7</v>
      </c>
      <c r="B345" s="21" t="s">
        <v>393</v>
      </c>
      <c r="C345" s="83">
        <v>1442484.43</v>
      </c>
      <c r="D345" s="83">
        <v>1986539.4</v>
      </c>
    </row>
    <row r="346" spans="1:6" ht="11.1" customHeight="1" x14ac:dyDescent="0.2">
      <c r="A346" s="2">
        <v>8</v>
      </c>
      <c r="B346" s="20" t="s">
        <v>377</v>
      </c>
      <c r="C346" s="83">
        <v>36494049.380000003</v>
      </c>
      <c r="D346" s="83">
        <v>56128147.609999999</v>
      </c>
    </row>
    <row r="347" spans="1:6" ht="11.1" customHeight="1" x14ac:dyDescent="0.2">
      <c r="A347" s="2">
        <v>9</v>
      </c>
      <c r="B347" s="20" t="s">
        <v>426</v>
      </c>
      <c r="C347" s="83">
        <f>[5]TDSheet!D128+[5]TDSheet!D129</f>
        <v>3684292.7199999997</v>
      </c>
      <c r="D347" s="83">
        <f>[2]TDSheet!F138+[2]TDSheet!F139</f>
        <v>5490381.9800000004</v>
      </c>
    </row>
    <row r="348" spans="1:6" ht="31.5" customHeight="1" x14ac:dyDescent="0.2">
      <c r="A348" s="2"/>
      <c r="B348" s="21" t="s">
        <v>391</v>
      </c>
      <c r="C348" s="92">
        <f>C347+C346+C345+C342+C316+C310+C306+C301+C296+C293</f>
        <v>139747924.95000002</v>
      </c>
      <c r="D348" s="15">
        <f>D347+D346+D345+D342+D316+D310+D306+D301+D296+D293</f>
        <v>210898539.42000002</v>
      </c>
      <c r="E348" s="9"/>
      <c r="F348" s="9"/>
    </row>
    <row r="349" spans="1:6" ht="11.1" customHeight="1" x14ac:dyDescent="0.2">
      <c r="A349" s="2"/>
      <c r="B349" s="21"/>
    </row>
    <row r="350" spans="1:6" ht="11.1" customHeight="1" x14ac:dyDescent="0.2">
      <c r="A350" s="2"/>
      <c r="B350" s="128"/>
    </row>
    <row r="351" spans="1:6" ht="11.1" customHeight="1" x14ac:dyDescent="0.2">
      <c r="A351" s="12"/>
      <c r="B351" s="129" t="s">
        <v>432</v>
      </c>
      <c r="C351" s="5"/>
      <c r="D351" s="5"/>
    </row>
    <row r="352" spans="1:6" ht="11.1" customHeight="1" x14ac:dyDescent="0.2">
      <c r="A352" s="2" t="s">
        <v>0</v>
      </c>
      <c r="B352" s="142" t="s">
        <v>310</v>
      </c>
      <c r="C352" s="112">
        <f>C353+C354+C355+C356</f>
        <v>456913.99</v>
      </c>
      <c r="D352" s="10">
        <f>D353+D354+D355+D356</f>
        <v>742459.86</v>
      </c>
    </row>
    <row r="353" spans="1:4" ht="11.1" customHeight="1" x14ac:dyDescent="0.2">
      <c r="A353" s="2"/>
      <c r="B353" s="143" t="s">
        <v>287</v>
      </c>
      <c r="C353" s="130">
        <v>329265.64</v>
      </c>
      <c r="D353" s="32">
        <v>541849.98</v>
      </c>
    </row>
    <row r="354" spans="1:4" ht="11.1" customHeight="1" x14ac:dyDescent="0.2">
      <c r="A354" s="2"/>
      <c r="B354" s="143" t="s">
        <v>552</v>
      </c>
      <c r="C354" s="131"/>
      <c r="D354" s="120">
        <v>17200</v>
      </c>
    </row>
    <row r="355" spans="1:4" ht="11.1" customHeight="1" x14ac:dyDescent="0.2">
      <c r="A355" s="2"/>
      <c r="B355" s="143" t="s">
        <v>312</v>
      </c>
      <c r="C355" s="130">
        <v>34876.44</v>
      </c>
      <c r="D355" s="63">
        <v>59580.59</v>
      </c>
    </row>
    <row r="356" spans="1:4" ht="11.1" customHeight="1" x14ac:dyDescent="0.2">
      <c r="A356" s="2"/>
      <c r="B356" s="143" t="s">
        <v>1</v>
      </c>
      <c r="C356" s="130">
        <v>92771.91</v>
      </c>
      <c r="D356" s="32">
        <v>123829.29</v>
      </c>
    </row>
    <row r="357" spans="1:4" ht="11.1" customHeight="1" x14ac:dyDescent="0.2">
      <c r="A357" s="2" t="s">
        <v>3</v>
      </c>
      <c r="B357" s="132" t="s">
        <v>293</v>
      </c>
      <c r="C357" s="97">
        <f>C358+C359+C360</f>
        <v>60776.2</v>
      </c>
      <c r="D357" s="97">
        <f>D358+D359+D360</f>
        <v>60776.2</v>
      </c>
    </row>
    <row r="358" spans="1:4" ht="11.1" customHeight="1" x14ac:dyDescent="0.2">
      <c r="A358" s="119"/>
      <c r="B358" s="133" t="s">
        <v>294</v>
      </c>
      <c r="C358" s="134">
        <v>16271.2</v>
      </c>
      <c r="D358" s="32">
        <v>16271.2</v>
      </c>
    </row>
    <row r="359" spans="1:4" ht="11.1" customHeight="1" x14ac:dyDescent="0.2">
      <c r="A359" s="119"/>
      <c r="B359" s="133" t="s">
        <v>295</v>
      </c>
      <c r="C359" s="134">
        <v>20769</v>
      </c>
      <c r="D359" s="32">
        <v>20769</v>
      </c>
    </row>
    <row r="360" spans="1:4" ht="11.1" customHeight="1" x14ac:dyDescent="0.2">
      <c r="A360" s="119"/>
      <c r="B360" s="133" t="s">
        <v>296</v>
      </c>
      <c r="C360" s="134">
        <v>23736</v>
      </c>
      <c r="D360" s="32">
        <v>23736</v>
      </c>
    </row>
    <row r="361" spans="1:4" ht="11.1" customHeight="1" x14ac:dyDescent="0.2">
      <c r="A361" s="2">
        <v>3</v>
      </c>
      <c r="B361" s="136" t="s">
        <v>322</v>
      </c>
      <c r="C361" s="112">
        <f>C362+C363+C364+C365+C366</f>
        <v>604373.07999999996</v>
      </c>
      <c r="D361" s="10">
        <f>D362+D363+D364+D365+D366</f>
        <v>701208.33000000007</v>
      </c>
    </row>
    <row r="362" spans="1:4" ht="11.1" customHeight="1" x14ac:dyDescent="0.2">
      <c r="A362" s="119"/>
      <c r="B362" s="133" t="s">
        <v>289</v>
      </c>
      <c r="C362" s="130">
        <v>69664.12</v>
      </c>
      <c r="D362" s="32">
        <v>109629.95</v>
      </c>
    </row>
    <row r="363" spans="1:4" ht="11.1" customHeight="1" x14ac:dyDescent="0.2">
      <c r="A363" s="119"/>
      <c r="B363" s="133" t="s">
        <v>290</v>
      </c>
      <c r="C363" s="130">
        <v>429639.16</v>
      </c>
      <c r="D363" s="32">
        <v>440743.92</v>
      </c>
    </row>
    <row r="364" spans="1:4" ht="11.1" customHeight="1" x14ac:dyDescent="0.2">
      <c r="A364" s="3"/>
      <c r="B364" s="133" t="s">
        <v>323</v>
      </c>
      <c r="C364" s="135">
        <v>7.98</v>
      </c>
      <c r="D364" s="34">
        <v>84.93</v>
      </c>
    </row>
    <row r="365" spans="1:4" ht="11.1" customHeight="1" x14ac:dyDescent="0.2">
      <c r="A365" s="3"/>
      <c r="B365" s="133" t="s">
        <v>292</v>
      </c>
      <c r="C365" s="130">
        <v>48844.14</v>
      </c>
      <c r="D365" s="32">
        <v>66876.710000000006</v>
      </c>
    </row>
    <row r="366" spans="1:4" ht="11.1" customHeight="1" x14ac:dyDescent="0.2">
      <c r="A366" s="3"/>
      <c r="B366" s="133" t="s">
        <v>16</v>
      </c>
      <c r="C366" s="130">
        <v>56217.68</v>
      </c>
      <c r="D366" s="32">
        <v>83872.820000000007</v>
      </c>
    </row>
    <row r="367" spans="1:4" ht="11.1" customHeight="1" x14ac:dyDescent="0.2">
      <c r="A367" s="2">
        <v>4</v>
      </c>
      <c r="B367" s="136" t="s">
        <v>307</v>
      </c>
      <c r="C367" s="10">
        <f>C368+C369+C370+C371+C372+C373+C374+C375+C376+C377+C378+C379</f>
        <v>5020495.5299999993</v>
      </c>
      <c r="D367" s="10">
        <f>D368+D369+D370+D371+D372+D373+D374+D375+D376+D377+D378+D379</f>
        <v>8128144.5099999988</v>
      </c>
    </row>
    <row r="368" spans="1:4" ht="11.1" customHeight="1" x14ac:dyDescent="0.2">
      <c r="A368" s="2"/>
      <c r="B368" s="144" t="s">
        <v>153</v>
      </c>
      <c r="C368" s="130">
        <v>309140.44</v>
      </c>
      <c r="D368" s="32">
        <v>331329.93</v>
      </c>
    </row>
    <row r="369" spans="1:5" ht="11.1" customHeight="1" x14ac:dyDescent="0.2">
      <c r="A369" s="2"/>
      <c r="B369" s="137" t="s">
        <v>410</v>
      </c>
      <c r="C369" s="138">
        <v>1462.8</v>
      </c>
      <c r="D369" s="64">
        <v>1462.8</v>
      </c>
    </row>
    <row r="370" spans="1:5" ht="11.1" customHeight="1" x14ac:dyDescent="0.2">
      <c r="A370" s="2"/>
      <c r="B370" s="133" t="s">
        <v>11</v>
      </c>
      <c r="C370" s="130">
        <v>1533961.57</v>
      </c>
      <c r="D370" s="32">
        <v>2163417.42</v>
      </c>
    </row>
    <row r="371" spans="1:5" ht="11.1" customHeight="1" x14ac:dyDescent="0.2">
      <c r="A371" s="2"/>
      <c r="B371" s="139" t="s">
        <v>279</v>
      </c>
      <c r="C371" s="138">
        <v>3021.61</v>
      </c>
      <c r="D371" s="64">
        <v>3021.61</v>
      </c>
    </row>
    <row r="372" spans="1:5" ht="11.1" customHeight="1" x14ac:dyDescent="0.2">
      <c r="A372" s="2"/>
      <c r="B372" s="139" t="s">
        <v>417</v>
      </c>
      <c r="C372" s="65"/>
      <c r="D372" s="121">
        <v>793456.64000000001</v>
      </c>
    </row>
    <row r="373" spans="1:5" ht="11.1" customHeight="1" x14ac:dyDescent="0.2">
      <c r="A373" s="2"/>
      <c r="B373" s="139" t="s">
        <v>120</v>
      </c>
      <c r="C373" s="138">
        <v>3802.92</v>
      </c>
      <c r="D373" s="64">
        <v>21285.29</v>
      </c>
    </row>
    <row r="374" spans="1:5" ht="11.1" customHeight="1" x14ac:dyDescent="0.2">
      <c r="A374" s="2"/>
      <c r="B374" s="139" t="s">
        <v>157</v>
      </c>
      <c r="C374" s="138">
        <v>2637552.66</v>
      </c>
      <c r="D374" s="64">
        <v>4081810.36</v>
      </c>
    </row>
    <row r="375" spans="1:5" ht="11.1" customHeight="1" x14ac:dyDescent="0.2">
      <c r="A375" s="119"/>
      <c r="B375" s="145" t="s">
        <v>6</v>
      </c>
      <c r="C375" s="130">
        <v>5131.51</v>
      </c>
      <c r="D375" s="32">
        <v>5186.95</v>
      </c>
    </row>
    <row r="376" spans="1:5" ht="11.1" customHeight="1" x14ac:dyDescent="0.2">
      <c r="A376" s="119"/>
      <c r="B376" s="137" t="s">
        <v>419</v>
      </c>
      <c r="C376" s="138">
        <v>18761.759999999998</v>
      </c>
      <c r="D376" s="64">
        <v>45609.89</v>
      </c>
    </row>
    <row r="377" spans="1:5" ht="10.5" customHeight="1" x14ac:dyDescent="0.2">
      <c r="A377" s="119"/>
      <c r="B377" s="137" t="s">
        <v>280</v>
      </c>
      <c r="C377" s="138">
        <v>127230.99</v>
      </c>
      <c r="D377" s="64">
        <v>148048.47</v>
      </c>
    </row>
    <row r="378" spans="1:5" ht="10.5" customHeight="1" x14ac:dyDescent="0.2">
      <c r="A378" s="119"/>
      <c r="B378" s="137" t="s">
        <v>420</v>
      </c>
      <c r="C378" s="138">
        <v>17200</v>
      </c>
      <c r="D378" s="64">
        <v>26902.52</v>
      </c>
      <c r="E378" s="9">
        <f>D378+D377+D376+D374+D373+D371+D369+D357+D372</f>
        <v>5182373.78</v>
      </c>
    </row>
    <row r="379" spans="1:5" ht="11.1" customHeight="1" x14ac:dyDescent="0.2">
      <c r="A379" s="119"/>
      <c r="B379" s="146" t="s">
        <v>325</v>
      </c>
      <c r="C379" s="130">
        <v>363229.27</v>
      </c>
      <c r="D379" s="32">
        <v>506612.63</v>
      </c>
    </row>
    <row r="380" spans="1:5" ht="11.1" customHeight="1" x14ac:dyDescent="0.2">
      <c r="A380" s="2">
        <v>5</v>
      </c>
      <c r="B380" s="141" t="s">
        <v>271</v>
      </c>
      <c r="C380" s="112">
        <f>C381+C382</f>
        <v>2309644.69</v>
      </c>
      <c r="D380" s="10">
        <f>D381+D382</f>
        <v>3169191.9499999997</v>
      </c>
    </row>
    <row r="381" spans="1:5" ht="11.1" customHeight="1" x14ac:dyDescent="0.2">
      <c r="A381" s="119"/>
      <c r="B381" s="146" t="s">
        <v>439</v>
      </c>
      <c r="C381" s="130">
        <v>239927.13</v>
      </c>
      <c r="D381" s="32">
        <v>239927.13</v>
      </c>
    </row>
    <row r="382" spans="1:5" ht="11.1" customHeight="1" x14ac:dyDescent="0.2">
      <c r="B382" s="144" t="s">
        <v>395</v>
      </c>
      <c r="C382" s="130">
        <v>2069717.56</v>
      </c>
      <c r="D382" s="32">
        <v>2929264.82</v>
      </c>
    </row>
    <row r="383" spans="1:5" ht="11.1" customHeight="1" x14ac:dyDescent="0.2">
      <c r="A383" s="2">
        <v>6</v>
      </c>
      <c r="B383" s="147" t="s">
        <v>393</v>
      </c>
      <c r="C383" s="140">
        <v>445126.1</v>
      </c>
      <c r="D383" s="83">
        <v>683806.73</v>
      </c>
    </row>
    <row r="384" spans="1:5" ht="11.1" customHeight="1" x14ac:dyDescent="0.2">
      <c r="A384" s="2">
        <v>7</v>
      </c>
      <c r="B384" s="148" t="s">
        <v>377</v>
      </c>
      <c r="C384" s="140">
        <v>58660092.770000003</v>
      </c>
      <c r="D384" s="83">
        <v>85595519.579999998</v>
      </c>
    </row>
    <row r="385" spans="1:6" ht="11.1" customHeight="1" x14ac:dyDescent="0.2">
      <c r="A385" s="2">
        <v>8</v>
      </c>
      <c r="B385" s="148" t="s">
        <v>426</v>
      </c>
      <c r="C385" s="140">
        <f>[6]TDSheet!D117+[6]TDSheet!D118</f>
        <v>6063404.4399999995</v>
      </c>
      <c r="D385" s="83">
        <f>[3]TDSheet!F122+[3]TDSheet!F123</f>
        <v>8643098.6999999993</v>
      </c>
    </row>
    <row r="386" spans="1:6" ht="23.25" customHeight="1" x14ac:dyDescent="0.2">
      <c r="A386" s="5"/>
      <c r="B386" s="141" t="s">
        <v>285</v>
      </c>
      <c r="C386" s="15">
        <f>C385+C384+C383+C380+C367+C361+C357+C352</f>
        <v>73620826.799999997</v>
      </c>
      <c r="D386" s="15">
        <f>D385+D384+D383+D380+D367+D361+D357+D352</f>
        <v>107724205.86000001</v>
      </c>
      <c r="E386" s="9"/>
      <c r="F386" s="9"/>
    </row>
    <row r="388" spans="1:6" ht="11.1" customHeight="1" x14ac:dyDescent="0.2">
      <c r="A388" s="223" t="s">
        <v>241</v>
      </c>
      <c r="B388" s="223"/>
    </row>
    <row r="389" spans="1:6" ht="11.1" customHeight="1" x14ac:dyDescent="0.2">
      <c r="A389" s="223" t="s">
        <v>490</v>
      </c>
      <c r="B389" s="223"/>
    </row>
    <row r="390" spans="1:6" ht="11.1" customHeight="1" x14ac:dyDescent="0.2">
      <c r="A390" s="224" t="s">
        <v>477</v>
      </c>
      <c r="B390" s="224"/>
    </row>
    <row r="391" spans="1:6" ht="11.1" customHeight="1" x14ac:dyDescent="0.2">
      <c r="A391" s="223" t="s">
        <v>243</v>
      </c>
      <c r="B391" s="223"/>
    </row>
    <row r="392" spans="1:6" ht="11.1" customHeight="1" thickBot="1" x14ac:dyDescent="0.25">
      <c r="A392" s="13"/>
      <c r="B392" s="13"/>
    </row>
    <row r="393" spans="1:6" ht="11.1" customHeight="1" x14ac:dyDescent="0.2">
      <c r="A393" s="225"/>
      <c r="B393" s="227" t="s">
        <v>244</v>
      </c>
    </row>
    <row r="394" spans="1:6" ht="11.1" customHeight="1" x14ac:dyDescent="0.2">
      <c r="A394" s="226"/>
      <c r="B394" s="228"/>
    </row>
    <row r="395" spans="1:6" ht="11.1" customHeight="1" x14ac:dyDescent="0.2">
      <c r="A395" s="36" t="s">
        <v>0</v>
      </c>
      <c r="B395" s="59" t="s">
        <v>481</v>
      </c>
      <c r="C395" s="10">
        <f>C396+C397</f>
        <v>1406660.28</v>
      </c>
    </row>
    <row r="396" spans="1:6" ht="11.1" customHeight="1" x14ac:dyDescent="0.2">
      <c r="A396" s="118"/>
      <c r="B396" s="57" t="s">
        <v>1</v>
      </c>
      <c r="C396" s="32">
        <v>937592.21</v>
      </c>
    </row>
    <row r="397" spans="1:6" ht="11.1" customHeight="1" x14ac:dyDescent="0.2">
      <c r="A397" s="118"/>
      <c r="B397" s="57" t="s">
        <v>18</v>
      </c>
      <c r="C397" s="32">
        <v>469068.07</v>
      </c>
    </row>
    <row r="398" spans="1:6" ht="11.1" customHeight="1" x14ac:dyDescent="0.2">
      <c r="A398" s="36" t="s">
        <v>3</v>
      </c>
      <c r="B398" s="58" t="s">
        <v>251</v>
      </c>
      <c r="C398" s="44">
        <f>C400+C401+C404</f>
        <v>1457.5600000000002</v>
      </c>
    </row>
    <row r="399" spans="1:6" ht="11.1" customHeight="1" x14ac:dyDescent="0.2">
      <c r="A399" s="36"/>
      <c r="B399" s="60" t="s">
        <v>252</v>
      </c>
      <c r="C399" s="5"/>
    </row>
    <row r="400" spans="1:6" ht="11.1" customHeight="1" x14ac:dyDescent="0.2">
      <c r="A400" s="38"/>
      <c r="B400" s="60" t="s">
        <v>253</v>
      </c>
      <c r="C400" s="34">
        <v>74.180000000000007</v>
      </c>
    </row>
    <row r="401" spans="1:3" ht="11.1" customHeight="1" x14ac:dyDescent="0.2">
      <c r="A401" s="38"/>
      <c r="B401" s="60" t="s">
        <v>254</v>
      </c>
      <c r="C401" s="34">
        <v>23.7</v>
      </c>
    </row>
    <row r="402" spans="1:3" ht="11.1" customHeight="1" x14ac:dyDescent="0.2">
      <c r="A402" s="38"/>
      <c r="B402" s="60" t="s">
        <v>255</v>
      </c>
      <c r="C402" s="5"/>
    </row>
    <row r="403" spans="1:3" ht="11.1" customHeight="1" x14ac:dyDescent="0.2">
      <c r="A403" s="38"/>
      <c r="B403" s="60" t="s">
        <v>256</v>
      </c>
      <c r="C403" s="5"/>
    </row>
    <row r="404" spans="1:3" ht="11.1" customHeight="1" x14ac:dyDescent="0.2">
      <c r="A404" s="38"/>
      <c r="B404" s="60" t="s">
        <v>500</v>
      </c>
      <c r="C404" s="32">
        <v>1359.68</v>
      </c>
    </row>
    <row r="405" spans="1:3" ht="11.1" customHeight="1" x14ac:dyDescent="0.2">
      <c r="A405" s="38"/>
      <c r="B405" s="60" t="s">
        <v>259</v>
      </c>
      <c r="C405" s="5"/>
    </row>
    <row r="406" spans="1:3" ht="11.1" customHeight="1" x14ac:dyDescent="0.2">
      <c r="A406" s="38"/>
      <c r="B406" s="60" t="s">
        <v>260</v>
      </c>
      <c r="C406" s="5"/>
    </row>
    <row r="407" spans="1:3" ht="11.1" customHeight="1" x14ac:dyDescent="0.2">
      <c r="A407" s="38"/>
      <c r="B407" s="60" t="s">
        <v>263</v>
      </c>
      <c r="C407" s="5"/>
    </row>
    <row r="408" spans="1:3" ht="11.1" customHeight="1" x14ac:dyDescent="0.2">
      <c r="A408" s="118"/>
      <c r="B408" s="60" t="s">
        <v>264</v>
      </c>
      <c r="C408" s="5"/>
    </row>
    <row r="409" spans="1:3" ht="11.1" customHeight="1" x14ac:dyDescent="0.2">
      <c r="A409" s="118"/>
      <c r="B409" s="60" t="s">
        <v>266</v>
      </c>
      <c r="C409" s="5"/>
    </row>
    <row r="410" spans="1:3" ht="11.1" customHeight="1" x14ac:dyDescent="0.2">
      <c r="A410" s="36" t="s">
        <v>5</v>
      </c>
      <c r="B410" s="58" t="s">
        <v>267</v>
      </c>
      <c r="C410" s="44">
        <f>C414+C417</f>
        <v>6667.91</v>
      </c>
    </row>
    <row r="411" spans="1:3" ht="11.1" customHeight="1" x14ac:dyDescent="0.2">
      <c r="A411" s="36"/>
      <c r="B411" s="60" t="s">
        <v>459</v>
      </c>
      <c r="C411" s="5"/>
    </row>
    <row r="412" spans="1:3" ht="11.1" customHeight="1" x14ac:dyDescent="0.2">
      <c r="A412" s="118"/>
      <c r="B412" s="60" t="s">
        <v>269</v>
      </c>
      <c r="C412" s="5"/>
    </row>
    <row r="413" spans="1:3" ht="11.1" customHeight="1" x14ac:dyDescent="0.2">
      <c r="A413" s="118"/>
      <c r="B413" s="60" t="s">
        <v>268</v>
      </c>
      <c r="C413" s="5"/>
    </row>
    <row r="414" spans="1:3" ht="11.1" customHeight="1" x14ac:dyDescent="0.2">
      <c r="A414" s="118"/>
      <c r="B414" s="60" t="s">
        <v>120</v>
      </c>
      <c r="C414" s="99">
        <v>386.4</v>
      </c>
    </row>
    <row r="415" spans="1:3" ht="11.1" customHeight="1" x14ac:dyDescent="0.2">
      <c r="A415" s="118"/>
      <c r="B415" s="60" t="s">
        <v>270</v>
      </c>
      <c r="C415" s="102"/>
    </row>
    <row r="416" spans="1:3" ht="11.1" customHeight="1" x14ac:dyDescent="0.2">
      <c r="A416" s="118"/>
      <c r="B416" s="60" t="s">
        <v>316</v>
      </c>
      <c r="C416" s="102"/>
    </row>
    <row r="417" spans="1:6" ht="11.1" customHeight="1" x14ac:dyDescent="0.2">
      <c r="A417" s="118"/>
      <c r="B417" s="60" t="s">
        <v>6</v>
      </c>
      <c r="C417" s="100">
        <v>6281.51</v>
      </c>
    </row>
    <row r="418" spans="1:6" ht="11.1" customHeight="1" x14ac:dyDescent="0.2">
      <c r="A418" s="36" t="s">
        <v>7</v>
      </c>
      <c r="B418" s="59" t="s">
        <v>271</v>
      </c>
      <c r="C418" s="10">
        <f>C421+C423+C422</f>
        <v>38620.560000000005</v>
      </c>
    </row>
    <row r="419" spans="1:6" ht="11.1" customHeight="1" x14ac:dyDescent="0.2">
      <c r="A419" s="118"/>
      <c r="B419" s="60" t="s">
        <v>460</v>
      </c>
      <c r="C419" s="5"/>
    </row>
    <row r="420" spans="1:6" ht="11.1" customHeight="1" x14ac:dyDescent="0.2">
      <c r="A420" s="118"/>
      <c r="B420" s="60" t="s">
        <v>461</v>
      </c>
      <c r="C420" s="5"/>
    </row>
    <row r="421" spans="1:6" ht="11.1" customHeight="1" x14ac:dyDescent="0.2">
      <c r="A421" s="118"/>
      <c r="B421" s="60" t="s">
        <v>273</v>
      </c>
      <c r="C421" s="100">
        <v>4062</v>
      </c>
    </row>
    <row r="422" spans="1:6" ht="11.1" customHeight="1" x14ac:dyDescent="0.2">
      <c r="A422" s="118"/>
      <c r="B422" s="60" t="s">
        <v>274</v>
      </c>
      <c r="C422" s="99">
        <v>27.01</v>
      </c>
    </row>
    <row r="423" spans="1:6" ht="11.1" customHeight="1" x14ac:dyDescent="0.2">
      <c r="A423" s="118"/>
      <c r="B423" s="60" t="s">
        <v>462</v>
      </c>
      <c r="C423" s="100">
        <v>34531.550000000003</v>
      </c>
    </row>
    <row r="424" spans="1:6" ht="11.1" customHeight="1" x14ac:dyDescent="0.2">
      <c r="A424" s="36" t="s">
        <v>9</v>
      </c>
      <c r="B424" s="59" t="s">
        <v>275</v>
      </c>
      <c r="C424" s="10">
        <f>C426+C430+C431+C432+C436+C435+C438+C439+C444+C445+C446+C447+C448+C449+C450+C451+C452+C453+C454</f>
        <v>1557593.9400000002</v>
      </c>
    </row>
    <row r="425" spans="1:6" ht="11.1" customHeight="1" x14ac:dyDescent="0.2">
      <c r="A425" s="36"/>
      <c r="B425" s="60" t="s">
        <v>270</v>
      </c>
      <c r="C425" s="5"/>
    </row>
    <row r="426" spans="1:6" ht="11.1" customHeight="1" x14ac:dyDescent="0.2">
      <c r="A426" s="36"/>
      <c r="B426" s="73" t="s">
        <v>498</v>
      </c>
      <c r="C426" s="99">
        <v>955.46</v>
      </c>
      <c r="F426" s="67"/>
    </row>
    <row r="427" spans="1:6" ht="11.1" customHeight="1" x14ac:dyDescent="0.2">
      <c r="A427" s="38"/>
      <c r="B427" s="60" t="s">
        <v>463</v>
      </c>
      <c r="C427" s="5"/>
    </row>
    <row r="428" spans="1:6" ht="11.1" customHeight="1" x14ac:dyDescent="0.2">
      <c r="A428" s="38"/>
      <c r="B428" s="60" t="s">
        <v>464</v>
      </c>
      <c r="C428" s="5"/>
    </row>
    <row r="429" spans="1:6" ht="11.1" customHeight="1" x14ac:dyDescent="0.2">
      <c r="A429" s="38"/>
      <c r="B429" s="60" t="s">
        <v>465</v>
      </c>
      <c r="C429" s="5"/>
    </row>
    <row r="430" spans="1:6" ht="11.1" customHeight="1" x14ac:dyDescent="0.2">
      <c r="A430" s="38"/>
      <c r="B430" s="55" t="s">
        <v>276</v>
      </c>
      <c r="C430" s="75">
        <v>240</v>
      </c>
      <c r="D430" s="85">
        <f>C430+C435+C436+C439+C444+C445+C446+C438</f>
        <v>28627.16</v>
      </c>
    </row>
    <row r="431" spans="1:6" ht="11.1" customHeight="1" x14ac:dyDescent="0.2">
      <c r="A431" s="38"/>
      <c r="B431" s="59" t="s">
        <v>499</v>
      </c>
      <c r="C431" s="99">
        <v>557.48</v>
      </c>
    </row>
    <row r="432" spans="1:6" ht="11.1" customHeight="1" x14ac:dyDescent="0.2">
      <c r="A432" s="38"/>
      <c r="B432" s="60" t="s">
        <v>485</v>
      </c>
      <c r="C432" s="34">
        <f>[7]TDSheet!D34+[7]TDSheet!D38</f>
        <v>4578.33</v>
      </c>
    </row>
    <row r="433" spans="1:3" ht="11.1" customHeight="1" x14ac:dyDescent="0.2">
      <c r="A433" s="38"/>
      <c r="B433" s="60" t="s">
        <v>90</v>
      </c>
      <c r="C433" s="5"/>
    </row>
    <row r="434" spans="1:3" ht="11.1" customHeight="1" x14ac:dyDescent="0.2">
      <c r="A434" s="38"/>
      <c r="B434" s="60" t="s">
        <v>527</v>
      </c>
    </row>
    <row r="435" spans="1:3" ht="11.1" customHeight="1" x14ac:dyDescent="0.2">
      <c r="A435" s="38"/>
      <c r="B435" s="55" t="s">
        <v>325</v>
      </c>
      <c r="C435" s="64">
        <v>1523.67</v>
      </c>
    </row>
    <row r="436" spans="1:3" ht="11.1" customHeight="1" x14ac:dyDescent="0.2">
      <c r="A436" s="38"/>
      <c r="B436" s="55" t="s">
        <v>526</v>
      </c>
      <c r="C436" s="75">
        <v>900</v>
      </c>
    </row>
    <row r="437" spans="1:3" ht="11.1" customHeight="1" x14ac:dyDescent="0.2">
      <c r="A437" s="38"/>
      <c r="B437" s="60" t="s">
        <v>277</v>
      </c>
      <c r="C437" s="5"/>
    </row>
    <row r="438" spans="1:3" ht="11.1" customHeight="1" x14ac:dyDescent="0.2">
      <c r="A438" s="38"/>
      <c r="B438" s="113" t="s">
        <v>466</v>
      </c>
      <c r="C438" s="103">
        <f>[7]TDSheet!D42+[7]TDSheet!D43+[7]TDSheet!D44</f>
        <v>435.92</v>
      </c>
    </row>
    <row r="439" spans="1:3" ht="11.1" customHeight="1" x14ac:dyDescent="0.2">
      <c r="A439" s="38"/>
      <c r="B439" s="55" t="s">
        <v>126</v>
      </c>
      <c r="C439" s="75">
        <v>604.5</v>
      </c>
    </row>
    <row r="440" spans="1:3" ht="11.1" customHeight="1" x14ac:dyDescent="0.2">
      <c r="A440" s="118"/>
      <c r="B440" s="60" t="s">
        <v>467</v>
      </c>
      <c r="C440" s="65"/>
    </row>
    <row r="441" spans="1:3" ht="11.1" customHeight="1" x14ac:dyDescent="0.2">
      <c r="A441" s="118"/>
      <c r="B441" s="60" t="s">
        <v>287</v>
      </c>
      <c r="C441" s="65"/>
    </row>
    <row r="442" spans="1:3" ht="11.1" customHeight="1" x14ac:dyDescent="0.2">
      <c r="A442" s="118"/>
      <c r="B442" s="60" t="s">
        <v>278</v>
      </c>
      <c r="C442" s="65"/>
    </row>
    <row r="443" spans="1:3" ht="11.1" customHeight="1" x14ac:dyDescent="0.2">
      <c r="A443" s="118"/>
      <c r="B443" s="60" t="s">
        <v>279</v>
      </c>
      <c r="C443" s="65"/>
    </row>
    <row r="444" spans="1:3" ht="11.1" customHeight="1" x14ac:dyDescent="0.2">
      <c r="A444" s="118"/>
      <c r="B444" s="55" t="s">
        <v>280</v>
      </c>
      <c r="C444" s="75">
        <v>120.6</v>
      </c>
    </row>
    <row r="445" spans="1:3" ht="11.1" customHeight="1" x14ac:dyDescent="0.2">
      <c r="A445" s="118"/>
      <c r="B445" s="55" t="s">
        <v>157</v>
      </c>
      <c r="C445" s="64">
        <v>24292.47</v>
      </c>
    </row>
    <row r="446" spans="1:3" ht="11.1" customHeight="1" x14ac:dyDescent="0.2">
      <c r="A446" s="118"/>
      <c r="B446" s="55" t="s">
        <v>468</v>
      </c>
      <c r="C446" s="75">
        <v>510</v>
      </c>
    </row>
    <row r="447" spans="1:3" ht="11.1" customHeight="1" x14ac:dyDescent="0.2">
      <c r="A447" s="118"/>
      <c r="B447" s="59" t="s">
        <v>504</v>
      </c>
      <c r="C447" s="99">
        <v>510</v>
      </c>
    </row>
    <row r="448" spans="1:3" ht="11.1" customHeight="1" x14ac:dyDescent="0.2">
      <c r="A448" s="118"/>
      <c r="B448" s="59" t="s">
        <v>503</v>
      </c>
      <c r="C448" s="100">
        <v>2070.54</v>
      </c>
    </row>
    <row r="449" spans="1:5" ht="11.1" customHeight="1" x14ac:dyDescent="0.2">
      <c r="A449" s="118"/>
      <c r="B449" s="59" t="s">
        <v>385</v>
      </c>
      <c r="C449" s="100">
        <v>257131.5</v>
      </c>
    </row>
    <row r="450" spans="1:5" ht="11.1" customHeight="1" x14ac:dyDescent="0.2">
      <c r="A450" s="118"/>
      <c r="B450" s="59" t="s">
        <v>502</v>
      </c>
      <c r="C450" s="99">
        <v>746.59</v>
      </c>
    </row>
    <row r="451" spans="1:5" ht="11.1" customHeight="1" x14ac:dyDescent="0.2">
      <c r="A451" s="118"/>
      <c r="B451" s="59" t="s">
        <v>501</v>
      </c>
      <c r="C451" s="100">
        <v>126769.12</v>
      </c>
    </row>
    <row r="452" spans="1:5" ht="11.1" customHeight="1" x14ac:dyDescent="0.2">
      <c r="A452" s="118"/>
      <c r="B452" s="59" t="s">
        <v>288</v>
      </c>
      <c r="C452" s="99">
        <f>[7]TDSheet!D18+[7]TDSheet!D12</f>
        <v>406.58000000000004</v>
      </c>
    </row>
    <row r="453" spans="1:5" ht="11.1" customHeight="1" x14ac:dyDescent="0.2">
      <c r="A453" s="118"/>
      <c r="B453" s="58" t="s">
        <v>495</v>
      </c>
      <c r="C453" s="100">
        <v>1134563.06</v>
      </c>
    </row>
    <row r="454" spans="1:5" ht="11.1" customHeight="1" x14ac:dyDescent="0.2">
      <c r="A454" s="118"/>
      <c r="B454" s="58" t="s">
        <v>494</v>
      </c>
      <c r="C454" s="99">
        <v>678.12</v>
      </c>
    </row>
    <row r="455" spans="1:5" ht="11.1" customHeight="1" x14ac:dyDescent="0.2">
      <c r="A455" s="36">
        <v>6</v>
      </c>
      <c r="B455" s="58" t="s">
        <v>486</v>
      </c>
      <c r="C455" s="83">
        <f>[7]TDSheet!D35+[7]TDSheet!D36</f>
        <v>105493.18</v>
      </c>
    </row>
    <row r="456" spans="1:5" ht="11.1" customHeight="1" x14ac:dyDescent="0.2">
      <c r="A456" s="36">
        <v>7</v>
      </c>
      <c r="B456" s="58" t="s">
        <v>484</v>
      </c>
      <c r="C456" s="83">
        <v>34367.03</v>
      </c>
      <c r="E456" s="9"/>
    </row>
    <row r="457" spans="1:5" ht="25.5" customHeight="1" x14ac:dyDescent="0.2">
      <c r="A457" s="39"/>
      <c r="B457" s="28" t="s">
        <v>285</v>
      </c>
      <c r="C457" s="15">
        <f>C456+C455+C424+C418+C410+C398+C395</f>
        <v>3150860.46</v>
      </c>
      <c r="D457" s="85"/>
      <c r="E457" s="9"/>
    </row>
    <row r="458" spans="1:5" ht="11.1" customHeight="1" x14ac:dyDescent="0.2">
      <c r="A458" s="36"/>
      <c r="B458" s="29" t="s">
        <v>435</v>
      </c>
      <c r="C458" s="71"/>
    </row>
    <row r="459" spans="1:5" ht="11.1" customHeight="1" x14ac:dyDescent="0.2">
      <c r="A459" s="36" t="s">
        <v>0</v>
      </c>
      <c r="B459" s="108" t="s">
        <v>286</v>
      </c>
      <c r="C459" s="105">
        <f>C460</f>
        <v>1770.4</v>
      </c>
      <c r="E459" s="68" t="s">
        <v>68</v>
      </c>
    </row>
    <row r="460" spans="1:5" ht="11.1" customHeight="1" x14ac:dyDescent="0.2">
      <c r="A460" s="118"/>
      <c r="B460" s="60" t="s">
        <v>1</v>
      </c>
      <c r="C460" s="63">
        <v>1770.4</v>
      </c>
      <c r="E460" s="68" t="s">
        <v>46</v>
      </c>
    </row>
    <row r="461" spans="1:5" ht="11.1" customHeight="1" x14ac:dyDescent="0.2">
      <c r="A461" s="118"/>
      <c r="B461" s="60" t="s">
        <v>287</v>
      </c>
      <c r="C461" s="5"/>
      <c r="E461" s="68" t="s">
        <v>28</v>
      </c>
    </row>
    <row r="462" spans="1:5" ht="11.1" customHeight="1" x14ac:dyDescent="0.2">
      <c r="A462" s="36" t="s">
        <v>3</v>
      </c>
      <c r="B462" s="108" t="s">
        <v>298</v>
      </c>
      <c r="C462" s="106">
        <f>C463+C465+C466</f>
        <v>11887.550000000001</v>
      </c>
      <c r="E462" s="68" t="s">
        <v>53</v>
      </c>
    </row>
    <row r="463" spans="1:5" ht="11.1" customHeight="1" x14ac:dyDescent="0.2">
      <c r="A463" s="38"/>
      <c r="B463" s="109" t="s">
        <v>299</v>
      </c>
      <c r="C463" s="63">
        <v>1911.28</v>
      </c>
      <c r="E463" s="68" t="s">
        <v>69</v>
      </c>
    </row>
    <row r="464" spans="1:5" ht="21" customHeight="1" x14ac:dyDescent="0.2">
      <c r="A464" s="38"/>
      <c r="B464" s="109" t="s">
        <v>300</v>
      </c>
      <c r="C464" s="5"/>
      <c r="E464" s="68" t="s">
        <v>29</v>
      </c>
    </row>
    <row r="465" spans="1:5" ht="11.1" customHeight="1" x14ac:dyDescent="0.2">
      <c r="A465" s="118"/>
      <c r="B465" s="109" t="s">
        <v>301</v>
      </c>
      <c r="C465" s="98">
        <v>103.5</v>
      </c>
      <c r="E465" s="69" t="s">
        <v>145</v>
      </c>
    </row>
    <row r="466" spans="1:5" ht="11.1" customHeight="1" x14ac:dyDescent="0.2">
      <c r="A466" s="118"/>
      <c r="B466" s="109" t="s">
        <v>302</v>
      </c>
      <c r="C466" s="63">
        <v>9872.77</v>
      </c>
      <c r="E466" s="68" t="s">
        <v>8</v>
      </c>
    </row>
    <row r="467" spans="1:5" ht="11.1" customHeight="1" x14ac:dyDescent="0.2">
      <c r="A467" s="36" t="s">
        <v>5</v>
      </c>
      <c r="B467" s="59" t="s">
        <v>307</v>
      </c>
      <c r="C467" s="10">
        <f>C468+C470+C472+C473+C474+C476+C477+C478+C480+C482+C487+C488+C489+C490+C491+C492+C493+C494+C495+C497</f>
        <v>146027.77999999997</v>
      </c>
      <c r="E467" s="68" t="s">
        <v>98</v>
      </c>
    </row>
    <row r="468" spans="1:5" ht="11.1" customHeight="1" x14ac:dyDescent="0.2">
      <c r="A468" s="77" t="s">
        <v>513</v>
      </c>
      <c r="B468" s="55" t="s">
        <v>289</v>
      </c>
      <c r="C468" s="107">
        <v>300.93</v>
      </c>
      <c r="E468" s="68" t="s">
        <v>12</v>
      </c>
    </row>
    <row r="469" spans="1:5" ht="11.1" customHeight="1" x14ac:dyDescent="0.2">
      <c r="A469" s="36"/>
      <c r="B469" s="59" t="s">
        <v>8</v>
      </c>
      <c r="C469" s="5"/>
      <c r="E469" s="68"/>
    </row>
    <row r="470" spans="1:5" ht="11.1" customHeight="1" x14ac:dyDescent="0.2">
      <c r="A470" s="36"/>
      <c r="B470" s="108" t="s">
        <v>11</v>
      </c>
      <c r="C470" s="83">
        <v>1279.4100000000001</v>
      </c>
      <c r="E470" s="68"/>
    </row>
    <row r="471" spans="1:5" ht="11.1" customHeight="1" x14ac:dyDescent="0.2">
      <c r="A471" s="36"/>
      <c r="B471" s="60" t="s">
        <v>279</v>
      </c>
      <c r="C471" s="5"/>
      <c r="E471" s="70" t="s">
        <v>158</v>
      </c>
    </row>
    <row r="472" spans="1:5" ht="11.1" customHeight="1" x14ac:dyDescent="0.2">
      <c r="A472" s="77" t="s">
        <v>513</v>
      </c>
      <c r="B472" s="55" t="s">
        <v>290</v>
      </c>
      <c r="C472" s="75">
        <v>646.53</v>
      </c>
    </row>
    <row r="473" spans="1:5" ht="11.1" customHeight="1" x14ac:dyDescent="0.2">
      <c r="A473" s="36"/>
      <c r="B473" s="55" t="s">
        <v>505</v>
      </c>
      <c r="C473" s="75">
        <f>[5]TDSheet!D87+[5]TDSheet!D68</f>
        <v>80.36</v>
      </c>
    </row>
    <row r="474" spans="1:5" ht="11.1" customHeight="1" x14ac:dyDescent="0.2">
      <c r="A474" s="36"/>
      <c r="B474" s="108" t="s">
        <v>46</v>
      </c>
      <c r="C474" s="101">
        <v>895.47</v>
      </c>
    </row>
    <row r="475" spans="1:5" ht="11.1" customHeight="1" x14ac:dyDescent="0.2">
      <c r="A475" s="36"/>
      <c r="B475" s="60" t="s">
        <v>292</v>
      </c>
      <c r="C475" s="5"/>
    </row>
    <row r="476" spans="1:5" ht="11.1" customHeight="1" x14ac:dyDescent="0.2">
      <c r="A476" s="36"/>
      <c r="B476" s="55" t="s">
        <v>469</v>
      </c>
      <c r="C476" s="75">
        <v>1.8</v>
      </c>
    </row>
    <row r="477" spans="1:5" ht="11.1" customHeight="1" x14ac:dyDescent="0.2">
      <c r="A477" s="36"/>
      <c r="B477" s="55" t="s">
        <v>20</v>
      </c>
      <c r="C477" s="64">
        <v>123879.85</v>
      </c>
    </row>
    <row r="478" spans="1:5" ht="11.1" customHeight="1" x14ac:dyDescent="0.2">
      <c r="A478" s="38"/>
      <c r="B478" s="55" t="s">
        <v>157</v>
      </c>
      <c r="C478" s="64">
        <v>2170.0100000000002</v>
      </c>
    </row>
    <row r="479" spans="1:5" ht="11.1" customHeight="1" x14ac:dyDescent="0.2">
      <c r="A479" s="38"/>
      <c r="B479" s="60" t="s">
        <v>120</v>
      </c>
      <c r="C479" s="65"/>
    </row>
    <row r="480" spans="1:5" ht="11.1" customHeight="1" x14ac:dyDescent="0.2">
      <c r="A480" s="38"/>
      <c r="B480" s="55" t="s">
        <v>470</v>
      </c>
      <c r="C480" s="75">
        <v>702.62</v>
      </c>
    </row>
    <row r="481" spans="1:4" ht="11.1" customHeight="1" x14ac:dyDescent="0.2">
      <c r="A481" s="38"/>
      <c r="B481" s="60" t="s">
        <v>419</v>
      </c>
      <c r="C481" s="65"/>
    </row>
    <row r="482" spans="1:4" ht="11.1" customHeight="1" x14ac:dyDescent="0.2">
      <c r="A482" s="38"/>
      <c r="B482" s="55" t="s">
        <v>6</v>
      </c>
      <c r="C482" s="75">
        <v>88.84</v>
      </c>
    </row>
    <row r="483" spans="1:4" ht="11.1" customHeight="1" x14ac:dyDescent="0.2">
      <c r="A483" s="38"/>
      <c r="B483" s="60" t="s">
        <v>471</v>
      </c>
      <c r="C483" s="65"/>
    </row>
    <row r="484" spans="1:4" ht="11.1" customHeight="1" x14ac:dyDescent="0.2">
      <c r="A484" s="38"/>
      <c r="B484" s="60" t="s">
        <v>472</v>
      </c>
      <c r="C484" s="65"/>
    </row>
    <row r="485" spans="1:4" ht="11.1" customHeight="1" x14ac:dyDescent="0.2">
      <c r="A485" s="38"/>
      <c r="B485" s="60" t="s">
        <v>276</v>
      </c>
      <c r="C485" s="65"/>
    </row>
    <row r="486" spans="1:4" ht="11.1" customHeight="1" x14ac:dyDescent="0.2">
      <c r="A486" s="38"/>
      <c r="B486" s="60" t="s">
        <v>280</v>
      </c>
      <c r="C486" s="65"/>
    </row>
    <row r="487" spans="1:4" ht="11.1" customHeight="1" x14ac:dyDescent="0.2">
      <c r="A487" s="38"/>
      <c r="B487" s="55" t="s">
        <v>525</v>
      </c>
      <c r="C487" s="104">
        <f>[5]TDSheet!D74+[5]TDSheet!D75</f>
        <v>1038.69</v>
      </c>
    </row>
    <row r="488" spans="1:4" ht="11.1" customHeight="1" x14ac:dyDescent="0.2">
      <c r="A488" s="38"/>
      <c r="B488" s="55" t="s">
        <v>295</v>
      </c>
      <c r="C488" s="75">
        <v>42</v>
      </c>
    </row>
    <row r="489" spans="1:4" ht="11.1" customHeight="1" x14ac:dyDescent="0.2">
      <c r="A489" s="38"/>
      <c r="B489" s="55" t="s">
        <v>294</v>
      </c>
      <c r="C489" s="75">
        <v>47.49</v>
      </c>
    </row>
    <row r="490" spans="1:4" ht="11.1" customHeight="1" x14ac:dyDescent="0.2">
      <c r="A490" s="38"/>
      <c r="B490" s="55" t="s">
        <v>473</v>
      </c>
      <c r="C490" s="75">
        <v>444.35</v>
      </c>
    </row>
    <row r="491" spans="1:4" ht="11.1" customHeight="1" x14ac:dyDescent="0.2">
      <c r="A491" s="38"/>
      <c r="B491" s="55" t="s">
        <v>162</v>
      </c>
      <c r="C491" s="75">
        <v>254.22</v>
      </c>
    </row>
    <row r="492" spans="1:4" ht="11.1" customHeight="1" x14ac:dyDescent="0.2">
      <c r="A492" s="38"/>
      <c r="B492" s="55" t="s">
        <v>508</v>
      </c>
      <c r="C492" s="75">
        <v>286.49</v>
      </c>
    </row>
    <row r="493" spans="1:4" ht="11.1" customHeight="1" x14ac:dyDescent="0.2">
      <c r="A493" s="38"/>
      <c r="B493" s="108" t="s">
        <v>474</v>
      </c>
      <c r="C493" s="83">
        <v>4322.24</v>
      </c>
      <c r="D493" s="9">
        <f>C493+C494+C499+C500</f>
        <v>17617.39</v>
      </c>
    </row>
    <row r="494" spans="1:4" ht="11.1" customHeight="1" x14ac:dyDescent="0.2">
      <c r="A494" s="38"/>
      <c r="B494" s="108" t="s">
        <v>21</v>
      </c>
      <c r="C494" s="83">
        <v>8659.34</v>
      </c>
    </row>
    <row r="495" spans="1:4" ht="11.1" customHeight="1" x14ac:dyDescent="0.2">
      <c r="A495" s="38"/>
      <c r="B495" s="55" t="s">
        <v>296</v>
      </c>
      <c r="C495" s="75">
        <v>124.2</v>
      </c>
    </row>
    <row r="496" spans="1:4" ht="11.1" customHeight="1" x14ac:dyDescent="0.2">
      <c r="A496" s="38"/>
      <c r="B496" s="60" t="s">
        <v>406</v>
      </c>
      <c r="C496" s="5"/>
    </row>
    <row r="497" spans="1:5" ht="11.1" customHeight="1" x14ac:dyDescent="0.2">
      <c r="A497" s="38"/>
      <c r="B497" s="55" t="s">
        <v>325</v>
      </c>
      <c r="C497" s="75">
        <v>762.94</v>
      </c>
      <c r="D497" s="67">
        <f>C497+C495+C492+C491+C490+C489+C488+C487+C482+C480+C478+C477+C476+C473+C472+C468</f>
        <v>130871.32</v>
      </c>
    </row>
    <row r="498" spans="1:5" ht="11.1" customHeight="1" x14ac:dyDescent="0.2">
      <c r="A498" s="38"/>
      <c r="B498" s="60" t="s">
        <v>475</v>
      </c>
      <c r="C498" s="5"/>
    </row>
    <row r="499" spans="1:5" ht="11.1" customHeight="1" x14ac:dyDescent="0.2">
      <c r="A499" s="36">
        <v>4</v>
      </c>
      <c r="B499" s="108" t="s">
        <v>506</v>
      </c>
      <c r="C499" s="83">
        <v>4143.45</v>
      </c>
      <c r="D499" s="74"/>
    </row>
    <row r="500" spans="1:5" ht="11.1" customHeight="1" x14ac:dyDescent="0.2">
      <c r="A500" s="36">
        <v>5</v>
      </c>
      <c r="B500" s="108" t="s">
        <v>507</v>
      </c>
      <c r="C500" s="101">
        <v>492.36</v>
      </c>
      <c r="D500" s="74"/>
    </row>
    <row r="501" spans="1:5" ht="11.1" customHeight="1" x14ac:dyDescent="0.2">
      <c r="A501" s="36">
        <v>6</v>
      </c>
      <c r="B501" s="108" t="s">
        <v>385</v>
      </c>
      <c r="C501" s="83">
        <v>5300.58</v>
      </c>
      <c r="D501" s="32"/>
    </row>
    <row r="502" spans="1:5" ht="28.5" customHeight="1" x14ac:dyDescent="0.2">
      <c r="A502" s="38"/>
      <c r="B502" s="53" t="s">
        <v>285</v>
      </c>
      <c r="C502" s="15">
        <f>C501+C500+C499+C467+C462+C459</f>
        <v>169622.11999999997</v>
      </c>
      <c r="D502" s="74"/>
      <c r="E502" s="9"/>
    </row>
    <row r="503" spans="1:5" ht="11.1" customHeight="1" x14ac:dyDescent="0.2">
      <c r="A503" s="36"/>
      <c r="B503" s="29" t="s">
        <v>432</v>
      </c>
      <c r="C503" s="5"/>
    </row>
    <row r="504" spans="1:5" ht="11.1" customHeight="1" x14ac:dyDescent="0.2">
      <c r="A504" s="36" t="s">
        <v>0</v>
      </c>
      <c r="B504" s="79" t="s">
        <v>310</v>
      </c>
      <c r="C504" s="61">
        <f>C506</f>
        <v>394.9</v>
      </c>
      <c r="E504" s="1" t="s">
        <v>28</v>
      </c>
    </row>
    <row r="505" spans="1:5" ht="11.1" customHeight="1" x14ac:dyDescent="0.2">
      <c r="A505" s="36"/>
      <c r="B505" s="80" t="s">
        <v>311</v>
      </c>
      <c r="C505" s="78"/>
      <c r="E505" s="1" t="s">
        <v>153</v>
      </c>
    </row>
    <row r="506" spans="1:5" ht="11.1" customHeight="1" x14ac:dyDescent="0.2">
      <c r="A506" s="36"/>
      <c r="B506" s="80" t="s">
        <v>1</v>
      </c>
      <c r="C506" s="34">
        <v>394.9</v>
      </c>
      <c r="E506" s="6" t="s">
        <v>53</v>
      </c>
    </row>
    <row r="507" spans="1:5" ht="21" customHeight="1" x14ac:dyDescent="0.2">
      <c r="A507" s="36" t="s">
        <v>3</v>
      </c>
      <c r="B507" s="51" t="s">
        <v>307</v>
      </c>
      <c r="C507" s="10">
        <f>C508+C509+C510+C514+C516+C519+C520+C523+C524</f>
        <v>239700.05000000002</v>
      </c>
      <c r="E507" s="1" t="s">
        <v>52</v>
      </c>
    </row>
    <row r="508" spans="1:5" ht="21.75" customHeight="1" x14ac:dyDescent="0.2">
      <c r="A508" s="36"/>
      <c r="B508" s="76" t="s">
        <v>290</v>
      </c>
      <c r="C508" s="110">
        <f>[6]TDSheet!D46+[6]TDSheet!D49</f>
        <v>2980.41</v>
      </c>
      <c r="E508" s="1" t="s">
        <v>69</v>
      </c>
    </row>
    <row r="509" spans="1:5" ht="21.75" customHeight="1" x14ac:dyDescent="0.2">
      <c r="A509" s="36"/>
      <c r="B509" s="76" t="s">
        <v>20</v>
      </c>
      <c r="C509" s="64">
        <v>200572.37</v>
      </c>
      <c r="E509" s="1" t="s">
        <v>16</v>
      </c>
    </row>
    <row r="510" spans="1:5" ht="21" customHeight="1" x14ac:dyDescent="0.2">
      <c r="A510" s="36"/>
      <c r="B510" s="58" t="s">
        <v>11</v>
      </c>
      <c r="C510" s="83">
        <v>4288.42</v>
      </c>
      <c r="E510" s="1" t="s">
        <v>29</v>
      </c>
    </row>
    <row r="511" spans="1:5" ht="11.1" customHeight="1" x14ac:dyDescent="0.2">
      <c r="A511" s="118"/>
      <c r="B511" s="52" t="s">
        <v>279</v>
      </c>
      <c r="C511" s="5"/>
      <c r="E511" s="6" t="s">
        <v>145</v>
      </c>
    </row>
    <row r="512" spans="1:5" ht="11.1" customHeight="1" x14ac:dyDescent="0.2">
      <c r="A512" s="118"/>
      <c r="B512" s="52" t="s">
        <v>120</v>
      </c>
      <c r="C512" s="5"/>
      <c r="E512" s="35" t="s">
        <v>98</v>
      </c>
    </row>
    <row r="513" spans="1:5" ht="21.75" customHeight="1" x14ac:dyDescent="0.2">
      <c r="A513" s="38"/>
      <c r="B513" s="52" t="s">
        <v>280</v>
      </c>
      <c r="C513" s="5"/>
      <c r="E513" s="35" t="s">
        <v>121</v>
      </c>
    </row>
    <row r="514" spans="1:5" ht="11.1" customHeight="1" x14ac:dyDescent="0.2">
      <c r="A514" s="38"/>
      <c r="B514" s="76" t="s">
        <v>157</v>
      </c>
      <c r="C514" s="64">
        <v>9137.0499999999993</v>
      </c>
      <c r="E514" s="35" t="s">
        <v>158</v>
      </c>
    </row>
    <row r="515" spans="1:5" ht="11.1" customHeight="1" x14ac:dyDescent="0.2">
      <c r="A515" s="38"/>
      <c r="B515" s="52" t="s">
        <v>404</v>
      </c>
      <c r="C515" s="65"/>
    </row>
    <row r="516" spans="1:5" ht="11.1" customHeight="1" x14ac:dyDescent="0.2">
      <c r="A516" s="38"/>
      <c r="B516" s="76" t="s">
        <v>6</v>
      </c>
      <c r="C516" s="75">
        <v>3.51</v>
      </c>
    </row>
    <row r="517" spans="1:5" ht="11.1" customHeight="1" x14ac:dyDescent="0.2">
      <c r="A517" s="38"/>
      <c r="B517" s="52" t="s">
        <v>276</v>
      </c>
      <c r="C517" s="65"/>
    </row>
    <row r="518" spans="1:5" ht="11.1" customHeight="1" x14ac:dyDescent="0.2">
      <c r="A518" s="40"/>
      <c r="B518" s="54" t="s">
        <v>417</v>
      </c>
      <c r="C518" s="65"/>
    </row>
    <row r="519" spans="1:5" ht="11.1" customHeight="1" x14ac:dyDescent="0.2">
      <c r="A519" s="40"/>
      <c r="B519" s="111" t="s">
        <v>476</v>
      </c>
      <c r="C519" s="64">
        <v>7814.66</v>
      </c>
    </row>
    <row r="520" spans="1:5" ht="11.1" customHeight="1" x14ac:dyDescent="0.2">
      <c r="A520" s="40"/>
      <c r="B520" s="111" t="s">
        <v>21</v>
      </c>
      <c r="C520" s="64">
        <v>13622.95</v>
      </c>
    </row>
    <row r="521" spans="1:5" ht="11.1" customHeight="1" x14ac:dyDescent="0.2">
      <c r="A521" s="40"/>
      <c r="B521" s="54" t="s">
        <v>296</v>
      </c>
      <c r="C521" s="65"/>
    </row>
    <row r="522" spans="1:5" ht="11.1" customHeight="1" x14ac:dyDescent="0.2">
      <c r="A522" s="40"/>
      <c r="B522" s="54" t="s">
        <v>253</v>
      </c>
      <c r="C522" s="65"/>
    </row>
    <row r="523" spans="1:5" ht="11.1" customHeight="1" x14ac:dyDescent="0.2">
      <c r="A523" s="41"/>
      <c r="B523" s="111" t="s">
        <v>512</v>
      </c>
      <c r="C523" s="75">
        <v>10.35</v>
      </c>
    </row>
    <row r="524" spans="1:5" ht="11.1" customHeight="1" x14ac:dyDescent="0.2">
      <c r="A524" s="37"/>
      <c r="B524" s="76" t="s">
        <v>325</v>
      </c>
      <c r="C524" s="64">
        <v>1270.33</v>
      </c>
      <c r="D524" s="9">
        <f>C524+C523+C520+C519+C516+C514+C509+C508</f>
        <v>235411.63</v>
      </c>
    </row>
    <row r="525" spans="1:5" ht="11.1" customHeight="1" x14ac:dyDescent="0.2">
      <c r="A525" s="72">
        <v>3</v>
      </c>
      <c r="B525" s="58" t="s">
        <v>511</v>
      </c>
      <c r="C525" s="78"/>
      <c r="D525" s="9"/>
      <c r="E525" s="9"/>
    </row>
    <row r="526" spans="1:5" ht="11.1" customHeight="1" x14ac:dyDescent="0.2">
      <c r="A526" s="72">
        <v>4</v>
      </c>
      <c r="B526" s="58" t="s">
        <v>510</v>
      </c>
      <c r="C526" s="83">
        <f>[6]TDSheet!D51+[6]TDSheet!D56</f>
        <v>8276.42</v>
      </c>
    </row>
    <row r="527" spans="1:5" ht="11.1" customHeight="1" x14ac:dyDescent="0.2">
      <c r="A527" s="72">
        <v>5</v>
      </c>
      <c r="B527" s="58" t="s">
        <v>385</v>
      </c>
      <c r="C527" s="83">
        <v>1468.63</v>
      </c>
    </row>
    <row r="528" spans="1:5" ht="11.1" customHeight="1" x14ac:dyDescent="0.2">
      <c r="A528" s="72">
        <v>6</v>
      </c>
      <c r="B528" s="58" t="s">
        <v>509</v>
      </c>
      <c r="C528" s="101">
        <v>202.59</v>
      </c>
    </row>
    <row r="529" spans="2:7" ht="27" customHeight="1" x14ac:dyDescent="0.2">
      <c r="B529" s="53" t="s">
        <v>285</v>
      </c>
      <c r="C529" s="15">
        <f>C528+C527+C526+C525+C507+C504</f>
        <v>250042.59</v>
      </c>
      <c r="D529" s="9"/>
      <c r="E529" s="9"/>
      <c r="F529" s="81"/>
      <c r="G529" s="9"/>
    </row>
  </sheetData>
  <mergeCells count="21">
    <mergeCell ref="D6:D7"/>
    <mergeCell ref="A1:B1"/>
    <mergeCell ref="A2:B2"/>
    <mergeCell ref="A3:B3"/>
    <mergeCell ref="A4:B4"/>
    <mergeCell ref="A6:A7"/>
    <mergeCell ref="B6:B7"/>
    <mergeCell ref="A391:B391"/>
    <mergeCell ref="A393:A394"/>
    <mergeCell ref="B393:B394"/>
    <mergeCell ref="A201:B201"/>
    <mergeCell ref="A202:B202"/>
    <mergeCell ref="A203:B203"/>
    <mergeCell ref="A204:B204"/>
    <mergeCell ref="A206:A207"/>
    <mergeCell ref="B206:B207"/>
    <mergeCell ref="D206:D207"/>
    <mergeCell ref="B341:C341"/>
    <mergeCell ref="A388:B388"/>
    <mergeCell ref="A389:B389"/>
    <mergeCell ref="A390:B390"/>
  </mergeCells>
  <pageMargins left="0.57999999999999996" right="0.6" top="0.28000000000000003" bottom="0.23" header="0.23" footer="0.18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4"/>
  <sheetViews>
    <sheetView topLeftCell="A60" zoomScale="120" zoomScaleNormal="120" zoomScaleSheetLayoutView="145" workbookViewId="0">
      <selection activeCell="G10" sqref="G10:H10"/>
    </sheetView>
  </sheetViews>
  <sheetFormatPr defaultRowHeight="15" x14ac:dyDescent="0.25"/>
  <cols>
    <col min="1" max="1" width="5.85546875" style="189" customWidth="1"/>
    <col min="2" max="2" width="51.7109375" style="189" customWidth="1"/>
    <col min="3" max="3" width="7.42578125" style="189" customWidth="1"/>
    <col min="4" max="5" width="11.28515625" style="173" customWidth="1"/>
    <col min="6" max="6" width="12.140625" style="173" customWidth="1"/>
    <col min="7" max="7" width="14.140625" style="202" customWidth="1"/>
    <col min="8" max="8" width="11.7109375" style="202" customWidth="1"/>
    <col min="9" max="9" width="17.85546875" style="203" customWidth="1"/>
    <col min="10" max="16384" width="9.140625" style="189"/>
  </cols>
  <sheetData>
    <row r="1" spans="1:9" s="186" customFormat="1" ht="78.75" x14ac:dyDescent="0.2">
      <c r="D1" s="156"/>
      <c r="E1" s="156"/>
      <c r="F1" s="156"/>
      <c r="I1" s="187" t="s">
        <v>240</v>
      </c>
    </row>
    <row r="2" spans="1:9" s="188" customFormat="1" ht="15" customHeight="1" x14ac:dyDescent="0.2">
      <c r="A2" s="238" t="s">
        <v>238</v>
      </c>
      <c r="B2" s="238"/>
      <c r="C2" s="238"/>
      <c r="D2" s="238"/>
      <c r="E2" s="238"/>
      <c r="F2" s="238"/>
      <c r="G2" s="238"/>
      <c r="H2" s="238"/>
      <c r="I2" s="238"/>
    </row>
    <row r="3" spans="1:9" s="188" customFormat="1" ht="15" customHeight="1" x14ac:dyDescent="0.2">
      <c r="A3" s="239" t="s">
        <v>566</v>
      </c>
      <c r="B3" s="239"/>
      <c r="C3" s="239"/>
      <c r="D3" s="239"/>
      <c r="E3" s="239"/>
      <c r="F3" s="239"/>
      <c r="G3" s="239"/>
      <c r="H3" s="239"/>
      <c r="I3" s="239"/>
    </row>
    <row r="4" spans="1:9" ht="18.75" customHeight="1" x14ac:dyDescent="0.25">
      <c r="A4" s="240" t="s">
        <v>229</v>
      </c>
      <c r="B4" s="240"/>
      <c r="C4" s="240"/>
      <c r="D4" s="240"/>
      <c r="E4" s="240"/>
      <c r="F4" s="240"/>
      <c r="G4" s="240"/>
      <c r="H4" s="240"/>
      <c r="I4" s="240"/>
    </row>
    <row r="5" spans="1:9" ht="12" customHeight="1" x14ac:dyDescent="0.25">
      <c r="A5" s="246" t="s">
        <v>17</v>
      </c>
      <c r="B5" s="246" t="s">
        <v>56</v>
      </c>
      <c r="C5" s="246" t="s">
        <v>57</v>
      </c>
      <c r="D5" s="249" t="s">
        <v>556</v>
      </c>
      <c r="E5" s="244" t="s">
        <v>565</v>
      </c>
      <c r="F5" s="250" t="s">
        <v>567</v>
      </c>
      <c r="G5" s="244" t="s">
        <v>557</v>
      </c>
      <c r="H5" s="246" t="s">
        <v>236</v>
      </c>
      <c r="I5" s="246" t="s">
        <v>239</v>
      </c>
    </row>
    <row r="6" spans="1:9" ht="36.75" customHeight="1" x14ac:dyDescent="0.25">
      <c r="A6" s="246"/>
      <c r="B6" s="246"/>
      <c r="C6" s="246"/>
      <c r="D6" s="249"/>
      <c r="E6" s="245"/>
      <c r="F6" s="251"/>
      <c r="G6" s="245"/>
      <c r="H6" s="246"/>
      <c r="I6" s="246"/>
    </row>
    <row r="7" spans="1:9" ht="12.75" customHeight="1" x14ac:dyDescent="0.25">
      <c r="A7" s="190" t="s">
        <v>58</v>
      </c>
      <c r="B7" s="157" t="s">
        <v>443</v>
      </c>
      <c r="C7" s="190" t="s">
        <v>59</v>
      </c>
      <c r="D7" s="19">
        <v>2517477.5640239599</v>
      </c>
      <c r="E7" s="19">
        <v>1258738.78201198</v>
      </c>
      <c r="F7" s="19">
        <v>1368364.7082025001</v>
      </c>
      <c r="G7" s="19">
        <v>109625.92619052017</v>
      </c>
      <c r="H7" s="158">
        <v>8.709187939319154</v>
      </c>
      <c r="I7" s="191"/>
    </row>
    <row r="8" spans="1:9" ht="12" customHeight="1" x14ac:dyDescent="0.25">
      <c r="A8" s="183" t="s">
        <v>0</v>
      </c>
      <c r="B8" s="165" t="s">
        <v>24</v>
      </c>
      <c r="C8" s="190" t="s">
        <v>59</v>
      </c>
      <c r="D8" s="19">
        <v>698077.08588246</v>
      </c>
      <c r="E8" s="19">
        <v>349038.54294123</v>
      </c>
      <c r="F8" s="19">
        <v>377048.15482</v>
      </c>
      <c r="G8" s="19">
        <v>28009.611878769996</v>
      </c>
      <c r="H8" s="158">
        <v>8.0247905124581518</v>
      </c>
      <c r="I8" s="191"/>
    </row>
    <row r="9" spans="1:9" ht="12.75" customHeight="1" x14ac:dyDescent="0.25">
      <c r="A9" s="174" t="s">
        <v>22</v>
      </c>
      <c r="B9" s="162" t="s">
        <v>25</v>
      </c>
      <c r="C9" s="193" t="s">
        <v>59</v>
      </c>
      <c r="D9" s="159">
        <v>115000</v>
      </c>
      <c r="E9" s="159">
        <v>57500</v>
      </c>
      <c r="F9" s="160">
        <v>60525.339569999996</v>
      </c>
      <c r="G9" s="19">
        <v>3025.3395699999965</v>
      </c>
      <c r="H9" s="158">
        <v>5.2614601217391241</v>
      </c>
      <c r="I9" s="241"/>
    </row>
    <row r="10" spans="1:9" ht="12.75" customHeight="1" x14ac:dyDescent="0.25">
      <c r="A10" s="174" t="s">
        <v>23</v>
      </c>
      <c r="B10" s="162" t="s">
        <v>18</v>
      </c>
      <c r="C10" s="193" t="s">
        <v>59</v>
      </c>
      <c r="D10" s="159">
        <v>60982.12</v>
      </c>
      <c r="E10" s="159">
        <v>30491.059999999998</v>
      </c>
      <c r="F10" s="161">
        <f>34492/5*6</f>
        <v>41390.399999999994</v>
      </c>
      <c r="G10" s="19">
        <f>F10-E10</f>
        <v>10899.339999999997</v>
      </c>
      <c r="H10" s="158">
        <f>G10/E10*100</f>
        <v>35.74601866907873</v>
      </c>
      <c r="I10" s="242"/>
    </row>
    <row r="11" spans="1:9" ht="12.75" customHeight="1" x14ac:dyDescent="0.25">
      <c r="A11" s="174" t="s">
        <v>26</v>
      </c>
      <c r="B11" s="162" t="s">
        <v>1</v>
      </c>
      <c r="C11" s="193" t="s">
        <v>59</v>
      </c>
      <c r="D11" s="159">
        <v>462521.23588246002</v>
      </c>
      <c r="E11" s="159">
        <v>231260.61794123001</v>
      </c>
      <c r="F11" s="161">
        <f>196542/5*6</f>
        <v>235850.40000000002</v>
      </c>
      <c r="G11" s="19">
        <v>925.74683376998291</v>
      </c>
      <c r="H11" s="158">
        <v>0.40030457499047323</v>
      </c>
      <c r="I11" s="242"/>
    </row>
    <row r="12" spans="1:9" ht="12.75" customHeight="1" x14ac:dyDescent="0.25">
      <c r="A12" s="174"/>
      <c r="B12" s="162" t="s">
        <v>355</v>
      </c>
      <c r="C12" s="193"/>
      <c r="D12" s="159">
        <v>29.648797171952552</v>
      </c>
      <c r="E12" s="159">
        <v>29.648797171952552</v>
      </c>
      <c r="F12" s="163">
        <v>32.119999999999997</v>
      </c>
      <c r="G12" s="19">
        <v>2.4712028280474456</v>
      </c>
      <c r="H12" s="158">
        <v>8.3349176484811238</v>
      </c>
      <c r="I12" s="242"/>
    </row>
    <row r="13" spans="1:9" ht="12.75" customHeight="1" x14ac:dyDescent="0.25">
      <c r="A13" s="174"/>
      <c r="B13" s="162" t="s">
        <v>375</v>
      </c>
      <c r="C13" s="193"/>
      <c r="D13" s="159">
        <v>15600</v>
      </c>
      <c r="E13" s="159">
        <v>7800</v>
      </c>
      <c r="F13" s="164">
        <v>7228.7162134184255</v>
      </c>
      <c r="G13" s="19">
        <v>-571.28378658157453</v>
      </c>
      <c r="H13" s="158">
        <v>-7.3241511100201873</v>
      </c>
      <c r="I13" s="242"/>
    </row>
    <row r="14" spans="1:9" ht="12.75" customHeight="1" x14ac:dyDescent="0.25">
      <c r="A14" s="174" t="s">
        <v>27</v>
      </c>
      <c r="B14" s="162" t="s">
        <v>2</v>
      </c>
      <c r="C14" s="193" t="s">
        <v>59</v>
      </c>
      <c r="D14" s="159">
        <v>51761.48</v>
      </c>
      <c r="E14" s="159">
        <v>25880.74</v>
      </c>
      <c r="F14" s="161">
        <v>36524.851969999996</v>
      </c>
      <c r="G14" s="19">
        <v>10644.111969999994</v>
      </c>
      <c r="H14" s="158">
        <v>41.127541059490547</v>
      </c>
      <c r="I14" s="242"/>
    </row>
    <row r="15" spans="1:9" ht="12.75" customHeight="1" x14ac:dyDescent="0.25">
      <c r="A15" s="174" t="s">
        <v>114</v>
      </c>
      <c r="B15" s="162" t="s">
        <v>60</v>
      </c>
      <c r="C15" s="193" t="s">
        <v>59</v>
      </c>
      <c r="D15" s="159">
        <v>7624</v>
      </c>
      <c r="E15" s="159">
        <v>3812</v>
      </c>
      <c r="F15" s="161">
        <v>4976.1098550000006</v>
      </c>
      <c r="G15" s="19">
        <v>1164.1098550000006</v>
      </c>
      <c r="H15" s="158">
        <v>30.538033971668433</v>
      </c>
      <c r="I15" s="242"/>
    </row>
    <row r="16" spans="1:9" ht="12.75" customHeight="1" x14ac:dyDescent="0.25">
      <c r="A16" s="174" t="s">
        <v>135</v>
      </c>
      <c r="B16" s="162" t="s">
        <v>82</v>
      </c>
      <c r="C16" s="193" t="s">
        <v>59</v>
      </c>
      <c r="D16" s="159">
        <v>188.25</v>
      </c>
      <c r="E16" s="159">
        <v>94.125</v>
      </c>
      <c r="F16" s="161">
        <v>253.91057000000001</v>
      </c>
      <c r="G16" s="19">
        <v>159.78557000000001</v>
      </c>
      <c r="H16" s="158">
        <v>169.75890571049138</v>
      </c>
      <c r="I16" s="243"/>
    </row>
    <row r="17" spans="1:9" ht="12.75" customHeight="1" x14ac:dyDescent="0.25">
      <c r="A17" s="183" t="s">
        <v>3</v>
      </c>
      <c r="B17" s="165" t="s">
        <v>436</v>
      </c>
      <c r="C17" s="190" t="s">
        <v>59</v>
      </c>
      <c r="D17" s="19">
        <v>944166.69975250005</v>
      </c>
      <c r="E17" s="19">
        <v>472083.34987625002</v>
      </c>
      <c r="F17" s="166">
        <v>447392.91632250004</v>
      </c>
      <c r="G17" s="19">
        <v>-24690.433553749986</v>
      </c>
      <c r="H17" s="158">
        <v>-5.2301004812438805</v>
      </c>
      <c r="I17" s="194"/>
    </row>
    <row r="18" spans="1:9" ht="12.75" customHeight="1" x14ac:dyDescent="0.25">
      <c r="A18" s="174" t="s">
        <v>61</v>
      </c>
      <c r="B18" s="162" t="s">
        <v>84</v>
      </c>
      <c r="C18" s="193" t="s">
        <v>59</v>
      </c>
      <c r="D18" s="159">
        <v>655914.87333333341</v>
      </c>
      <c r="E18" s="159">
        <v>327957.4366666667</v>
      </c>
      <c r="F18" s="168">
        <f>332177/5*6-F24</f>
        <v>308981.73416666663</v>
      </c>
      <c r="G18" s="19">
        <f>F18-E18</f>
        <v>-18975.702500000072</v>
      </c>
      <c r="H18" s="158">
        <f>G18/E18*100</f>
        <v>-5.7860259833921148</v>
      </c>
      <c r="I18" s="241" t="s">
        <v>441</v>
      </c>
    </row>
    <row r="19" spans="1:9" ht="12.75" customHeight="1" x14ac:dyDescent="0.25">
      <c r="A19" s="174"/>
      <c r="B19" s="162" t="s">
        <v>100</v>
      </c>
      <c r="C19" s="193" t="s">
        <v>99</v>
      </c>
      <c r="D19" s="159">
        <v>223100.29705215423</v>
      </c>
      <c r="E19" s="159">
        <v>223100.29705215423</v>
      </c>
      <c r="F19" s="159">
        <v>207728.80535487534</v>
      </c>
      <c r="G19" s="19">
        <v>-15371.491697278892</v>
      </c>
      <c r="H19" s="158">
        <v>-6.8899467640267167</v>
      </c>
      <c r="I19" s="242"/>
    </row>
    <row r="20" spans="1:9" ht="12.75" customHeight="1" x14ac:dyDescent="0.25">
      <c r="A20" s="174"/>
      <c r="B20" s="162" t="s">
        <v>102</v>
      </c>
      <c r="C20" s="193" t="s">
        <v>101</v>
      </c>
      <c r="D20" s="159">
        <v>245</v>
      </c>
      <c r="E20" s="159">
        <v>245</v>
      </c>
      <c r="F20" s="168">
        <v>245</v>
      </c>
      <c r="G20" s="19">
        <v>0</v>
      </c>
      <c r="H20" s="158">
        <v>0</v>
      </c>
      <c r="I20" s="242"/>
    </row>
    <row r="21" spans="1:9" ht="12.75" customHeight="1" x14ac:dyDescent="0.25">
      <c r="A21" s="174" t="s">
        <v>62</v>
      </c>
      <c r="B21" s="162" t="s">
        <v>334</v>
      </c>
      <c r="C21" s="193" t="s">
        <v>59</v>
      </c>
      <c r="D21" s="159">
        <v>56080.721670000014</v>
      </c>
      <c r="E21" s="159">
        <v>28040.360835000007</v>
      </c>
      <c r="F21" s="168">
        <v>29622.327956249996</v>
      </c>
      <c r="G21" s="19">
        <v>1581.9671212499888</v>
      </c>
      <c r="H21" s="158">
        <v>5.6417502276767273</v>
      </c>
      <c r="I21" s="242"/>
    </row>
    <row r="22" spans="1:9" ht="12.75" customHeight="1" x14ac:dyDescent="0.25">
      <c r="A22" s="174" t="s">
        <v>85</v>
      </c>
      <c r="B22" s="162" t="s">
        <v>116</v>
      </c>
      <c r="C22" s="193" t="s">
        <v>59</v>
      </c>
      <c r="D22" s="159">
        <v>19677.446200000002</v>
      </c>
      <c r="E22" s="159">
        <v>9838.7231000000011</v>
      </c>
      <c r="F22" s="168">
        <v>7498.6756800000003</v>
      </c>
      <c r="G22" s="19">
        <v>-2340.0474200000008</v>
      </c>
      <c r="H22" s="158">
        <v>-23.784056083456608</v>
      </c>
      <c r="I22" s="242"/>
    </row>
    <row r="23" spans="1:9" ht="12.75" customHeight="1" x14ac:dyDescent="0.25">
      <c r="A23" s="174"/>
      <c r="B23" s="167" t="s">
        <v>560</v>
      </c>
      <c r="C23" s="193"/>
      <c r="D23" s="159">
        <v>9838.7231000000011</v>
      </c>
      <c r="E23" s="159">
        <v>4919.3615500000005</v>
      </c>
      <c r="F23" s="168">
        <v>3583.1010900000001</v>
      </c>
      <c r="G23" s="19"/>
      <c r="H23" s="158">
        <v>0</v>
      </c>
      <c r="I23" s="242"/>
    </row>
    <row r="24" spans="1:9" ht="12.75" customHeight="1" x14ac:dyDescent="0.25">
      <c r="A24" s="174" t="s">
        <v>86</v>
      </c>
      <c r="B24" s="162" t="s">
        <v>103</v>
      </c>
      <c r="C24" s="193" t="s">
        <v>59</v>
      </c>
      <c r="D24" s="159">
        <v>179261.33166666667</v>
      </c>
      <c r="E24" s="159">
        <v>89630.665833333333</v>
      </c>
      <c r="F24" s="168">
        <v>89630.665833333333</v>
      </c>
      <c r="G24" s="19">
        <v>0</v>
      </c>
      <c r="H24" s="158">
        <v>0</v>
      </c>
      <c r="I24" s="242"/>
    </row>
    <row r="25" spans="1:9" ht="12.75" customHeight="1" x14ac:dyDescent="0.25">
      <c r="A25" s="174"/>
      <c r="B25" s="162" t="s">
        <v>100</v>
      </c>
      <c r="C25" s="193" t="s">
        <v>99</v>
      </c>
      <c r="D25" s="159">
        <v>219683.00449346408</v>
      </c>
      <c r="E25" s="159">
        <v>219683.00449346408</v>
      </c>
      <c r="F25" s="159">
        <v>272549.61331062863</v>
      </c>
      <c r="G25" s="19">
        <v>52866.608817164553</v>
      </c>
      <c r="H25" s="158">
        <v>24.06495165115853</v>
      </c>
      <c r="I25" s="242"/>
    </row>
    <row r="26" spans="1:9" ht="12.75" customHeight="1" x14ac:dyDescent="0.25">
      <c r="A26" s="174"/>
      <c r="B26" s="162" t="s">
        <v>113</v>
      </c>
      <c r="C26" s="193" t="s">
        <v>101</v>
      </c>
      <c r="D26" s="159">
        <v>68</v>
      </c>
      <c r="E26" s="159">
        <v>68</v>
      </c>
      <c r="F26" s="168">
        <v>54.81</v>
      </c>
      <c r="G26" s="19">
        <v>-13.189999999999998</v>
      </c>
      <c r="H26" s="158">
        <v>-19.397058823529409</v>
      </c>
      <c r="I26" s="242"/>
    </row>
    <row r="27" spans="1:9" ht="12.75" customHeight="1" x14ac:dyDescent="0.25">
      <c r="A27" s="174" t="s">
        <v>115</v>
      </c>
      <c r="B27" s="162" t="s">
        <v>21</v>
      </c>
      <c r="C27" s="193" t="s">
        <v>59</v>
      </c>
      <c r="D27" s="159">
        <v>15326.8438575</v>
      </c>
      <c r="E27" s="159">
        <v>7663.42192875</v>
      </c>
      <c r="F27" s="168">
        <v>7663.42192875</v>
      </c>
      <c r="G27" s="19">
        <v>0</v>
      </c>
      <c r="H27" s="158">
        <v>0</v>
      </c>
      <c r="I27" s="242"/>
    </row>
    <row r="28" spans="1:9" ht="12.75" customHeight="1" x14ac:dyDescent="0.25">
      <c r="A28" s="174" t="s">
        <v>136</v>
      </c>
      <c r="B28" s="162" t="s">
        <v>116</v>
      </c>
      <c r="C28" s="193" t="s">
        <v>59</v>
      </c>
      <c r="D28" s="159">
        <v>5377.8399499999996</v>
      </c>
      <c r="E28" s="159">
        <v>2688.9199749999998</v>
      </c>
      <c r="F28" s="168">
        <v>2688.9199749999998</v>
      </c>
      <c r="G28" s="19">
        <v>0</v>
      </c>
      <c r="H28" s="158">
        <v>0</v>
      </c>
      <c r="I28" s="243"/>
    </row>
    <row r="29" spans="1:9" ht="12.75" customHeight="1" x14ac:dyDescent="0.25">
      <c r="A29" s="174"/>
      <c r="B29" s="167" t="s">
        <v>560</v>
      </c>
      <c r="C29" s="193"/>
      <c r="D29" s="159">
        <v>2688.9199749999998</v>
      </c>
      <c r="E29" s="159">
        <v>1344.4599874999999</v>
      </c>
      <c r="F29" s="168">
        <v>1344.4599874999999</v>
      </c>
      <c r="G29" s="19"/>
      <c r="H29" s="158">
        <v>0</v>
      </c>
      <c r="I29" s="195"/>
    </row>
    <row r="30" spans="1:9" ht="12.75" customHeight="1" x14ac:dyDescent="0.25">
      <c r="A30" s="183" t="s">
        <v>5</v>
      </c>
      <c r="B30" s="165" t="s">
        <v>63</v>
      </c>
      <c r="C30" s="190" t="s">
        <v>59</v>
      </c>
      <c r="D30" s="19">
        <v>601947.94299999997</v>
      </c>
      <c r="E30" s="159">
        <v>300973.97149999999</v>
      </c>
      <c r="F30" s="169">
        <v>398192.67952500004</v>
      </c>
      <c r="G30" s="19">
        <v>97218.708025000058</v>
      </c>
      <c r="H30" s="158">
        <v>32.301367304448142</v>
      </c>
      <c r="I30" s="194"/>
    </row>
    <row r="31" spans="1:9" ht="12.75" customHeight="1" x14ac:dyDescent="0.25">
      <c r="A31" s="183" t="s">
        <v>7</v>
      </c>
      <c r="B31" s="165" t="s">
        <v>4</v>
      </c>
      <c r="C31" s="190" t="s">
        <v>59</v>
      </c>
      <c r="D31" s="19">
        <v>123350.31</v>
      </c>
      <c r="E31" s="159">
        <v>61675.154999999999</v>
      </c>
      <c r="F31" s="166">
        <v>71672.436734999996</v>
      </c>
      <c r="G31" s="19">
        <v>9997.2817349999968</v>
      </c>
      <c r="H31" s="158">
        <v>16.209576992550723</v>
      </c>
      <c r="I31" s="194"/>
    </row>
    <row r="32" spans="1:9" ht="12.75" customHeight="1" x14ac:dyDescent="0.25">
      <c r="A32" s="183" t="s">
        <v>9</v>
      </c>
      <c r="B32" s="165" t="s">
        <v>64</v>
      </c>
      <c r="C32" s="190" t="s">
        <v>59</v>
      </c>
      <c r="D32" s="19">
        <v>149935.52538900002</v>
      </c>
      <c r="E32" s="19">
        <v>74967.762694500008</v>
      </c>
      <c r="F32" s="170">
        <v>74058.520799999998</v>
      </c>
      <c r="G32" s="19">
        <v>-909.24189450000995</v>
      </c>
      <c r="H32" s="158">
        <v>-1.2128438435667979</v>
      </c>
      <c r="I32" s="194"/>
    </row>
    <row r="33" spans="1:9" ht="12.75" customHeight="1" x14ac:dyDescent="0.25">
      <c r="A33" s="174" t="s">
        <v>32</v>
      </c>
      <c r="B33" s="162" t="s">
        <v>65</v>
      </c>
      <c r="C33" s="193" t="s">
        <v>59</v>
      </c>
      <c r="D33" s="159">
        <v>867.01</v>
      </c>
      <c r="E33" s="159">
        <v>433.505</v>
      </c>
      <c r="F33" s="168">
        <v>292.10169000000002</v>
      </c>
      <c r="G33" s="19">
        <v>-141.40330999999998</v>
      </c>
      <c r="H33" s="158">
        <v>-32.618611088684091</v>
      </c>
      <c r="I33" s="241"/>
    </row>
    <row r="34" spans="1:9" ht="12.75" customHeight="1" x14ac:dyDescent="0.25">
      <c r="A34" s="174" t="s">
        <v>33</v>
      </c>
      <c r="B34" s="162" t="s">
        <v>31</v>
      </c>
      <c r="C34" s="193" t="s">
        <v>59</v>
      </c>
      <c r="D34" s="159">
        <v>817.58</v>
      </c>
      <c r="E34" s="159">
        <v>408.79000000000008</v>
      </c>
      <c r="F34" s="168">
        <v>5040</v>
      </c>
      <c r="G34" s="19">
        <v>4631.21</v>
      </c>
      <c r="H34" s="158">
        <v>1132.9068714988134</v>
      </c>
      <c r="I34" s="242"/>
    </row>
    <row r="35" spans="1:9" ht="12.75" customHeight="1" x14ac:dyDescent="0.25">
      <c r="A35" s="174" t="s">
        <v>34</v>
      </c>
      <c r="B35" s="162" t="s">
        <v>529</v>
      </c>
      <c r="C35" s="193" t="s">
        <v>59</v>
      </c>
      <c r="D35" s="159">
        <v>53.32</v>
      </c>
      <c r="E35" s="159">
        <v>26.66</v>
      </c>
      <c r="F35" s="168">
        <v>35.238</v>
      </c>
      <c r="G35" s="19">
        <v>8.5779999999999994</v>
      </c>
      <c r="H35" s="158">
        <v>32.175543885971493</v>
      </c>
      <c r="I35" s="242"/>
    </row>
    <row r="36" spans="1:9" ht="12.75" customHeight="1" x14ac:dyDescent="0.25">
      <c r="A36" s="174" t="s">
        <v>35</v>
      </c>
      <c r="B36" s="162" t="s">
        <v>66</v>
      </c>
      <c r="C36" s="193" t="s">
        <v>59</v>
      </c>
      <c r="D36" s="159">
        <v>13886.24</v>
      </c>
      <c r="E36" s="159">
        <v>6943.1200000000008</v>
      </c>
      <c r="F36" s="168">
        <v>4744.3501350000006</v>
      </c>
      <c r="G36" s="19">
        <v>-2198.7698650000002</v>
      </c>
      <c r="H36" s="158">
        <v>-31.668325839104032</v>
      </c>
      <c r="I36" s="242"/>
    </row>
    <row r="37" spans="1:9" ht="12.75" customHeight="1" x14ac:dyDescent="0.25">
      <c r="A37" s="174" t="s">
        <v>36</v>
      </c>
      <c r="B37" s="162" t="s">
        <v>137</v>
      </c>
      <c r="C37" s="193" t="s">
        <v>59</v>
      </c>
      <c r="D37" s="159">
        <v>1100</v>
      </c>
      <c r="E37" s="159">
        <v>550</v>
      </c>
      <c r="F37" s="168">
        <v>512.73599999999999</v>
      </c>
      <c r="G37" s="19">
        <v>-37.26400000000001</v>
      </c>
      <c r="H37" s="158">
        <v>-6.7752727272727302</v>
      </c>
      <c r="I37" s="242"/>
    </row>
    <row r="38" spans="1:9" ht="12.75" customHeight="1" x14ac:dyDescent="0.25">
      <c r="A38" s="174" t="s">
        <v>37</v>
      </c>
      <c r="B38" s="35" t="s">
        <v>104</v>
      </c>
      <c r="C38" s="193" t="s">
        <v>59</v>
      </c>
      <c r="D38" s="159">
        <v>43122.559999999998</v>
      </c>
      <c r="E38" s="159">
        <v>21561.279999999999</v>
      </c>
      <c r="F38" s="168">
        <v>21505.6875</v>
      </c>
      <c r="G38" s="19">
        <v>-55.592499999998836</v>
      </c>
      <c r="H38" s="158">
        <v>-0.25783487807773398</v>
      </c>
      <c r="I38" s="242"/>
    </row>
    <row r="39" spans="1:9" ht="12.75" customHeight="1" x14ac:dyDescent="0.25">
      <c r="A39" s="174" t="s">
        <v>38</v>
      </c>
      <c r="B39" s="162" t="s">
        <v>29</v>
      </c>
      <c r="C39" s="193" t="s">
        <v>59</v>
      </c>
      <c r="D39" s="159">
        <v>54768.025389000002</v>
      </c>
      <c r="E39" s="159">
        <v>27384.012694500001</v>
      </c>
      <c r="F39" s="168">
        <v>14117.971875000001</v>
      </c>
      <c r="G39" s="19">
        <v>-13266.0408195</v>
      </c>
      <c r="H39" s="158">
        <v>-48.444473669720601</v>
      </c>
      <c r="I39" s="242"/>
    </row>
    <row r="40" spans="1:9" ht="12.75" hidden="1" customHeight="1" x14ac:dyDescent="0.25">
      <c r="A40" s="174"/>
      <c r="B40" s="175" t="s">
        <v>164</v>
      </c>
      <c r="C40" s="193" t="s">
        <v>59</v>
      </c>
      <c r="D40" s="159"/>
      <c r="E40" s="159">
        <v>0</v>
      </c>
      <c r="F40" s="168"/>
      <c r="G40" s="19">
        <v>0</v>
      </c>
      <c r="H40" s="158" t="e">
        <v>#DIV/0!</v>
      </c>
      <c r="I40" s="242"/>
    </row>
    <row r="41" spans="1:9" ht="12.75" hidden="1" customHeight="1" x14ac:dyDescent="0.25">
      <c r="A41" s="174"/>
      <c r="B41" s="180" t="s">
        <v>129</v>
      </c>
      <c r="C41" s="193" t="s">
        <v>59</v>
      </c>
      <c r="D41" s="159"/>
      <c r="E41" s="159">
        <v>0</v>
      </c>
      <c r="F41" s="168"/>
      <c r="G41" s="19">
        <v>0</v>
      </c>
      <c r="H41" s="158" t="e">
        <v>#DIV/0!</v>
      </c>
      <c r="I41" s="242"/>
    </row>
    <row r="42" spans="1:9" ht="39" hidden="1" customHeight="1" x14ac:dyDescent="0.25">
      <c r="A42" s="174"/>
      <c r="B42" s="180" t="s">
        <v>131</v>
      </c>
      <c r="C42" s="193" t="s">
        <v>59</v>
      </c>
      <c r="D42" s="159"/>
      <c r="E42" s="159">
        <v>0</v>
      </c>
      <c r="F42" s="168"/>
      <c r="G42" s="19">
        <v>0</v>
      </c>
      <c r="H42" s="158" t="e">
        <v>#DIV/0!</v>
      </c>
      <c r="I42" s="242"/>
    </row>
    <row r="43" spans="1:9" ht="27" hidden="1" customHeight="1" x14ac:dyDescent="0.25">
      <c r="A43" s="174"/>
      <c r="B43" s="180" t="s">
        <v>130</v>
      </c>
      <c r="C43" s="193" t="s">
        <v>59</v>
      </c>
      <c r="D43" s="159"/>
      <c r="E43" s="159">
        <v>0</v>
      </c>
      <c r="F43" s="168"/>
      <c r="G43" s="19">
        <v>0</v>
      </c>
      <c r="H43" s="158" t="e">
        <v>#DIV/0!</v>
      </c>
      <c r="I43" s="242"/>
    </row>
    <row r="44" spans="1:9" ht="12.75" hidden="1" customHeight="1" x14ac:dyDescent="0.25">
      <c r="A44" s="174"/>
      <c r="B44" s="180" t="s">
        <v>132</v>
      </c>
      <c r="C44" s="193" t="s">
        <v>59</v>
      </c>
      <c r="D44" s="159"/>
      <c r="E44" s="159">
        <v>0</v>
      </c>
      <c r="F44" s="168"/>
      <c r="G44" s="19">
        <v>0</v>
      </c>
      <c r="H44" s="158" t="e">
        <v>#DIV/0!</v>
      </c>
      <c r="I44" s="242"/>
    </row>
    <row r="45" spans="1:9" ht="12.75" customHeight="1" x14ac:dyDescent="0.25">
      <c r="A45" s="174" t="s">
        <v>39</v>
      </c>
      <c r="B45" s="162" t="s">
        <v>30</v>
      </c>
      <c r="C45" s="193" t="s">
        <v>59</v>
      </c>
      <c r="D45" s="159">
        <v>1269.1500000000001</v>
      </c>
      <c r="E45" s="159">
        <v>634.57500000000005</v>
      </c>
      <c r="F45" s="168">
        <v>257.59361999999999</v>
      </c>
      <c r="G45" s="19">
        <v>-376.98138000000006</v>
      </c>
      <c r="H45" s="158">
        <v>-59.406906984989959</v>
      </c>
      <c r="I45" s="242"/>
    </row>
    <row r="46" spans="1:9" ht="16.5" customHeight="1" x14ac:dyDescent="0.25">
      <c r="A46" s="174" t="s">
        <v>105</v>
      </c>
      <c r="B46" s="165" t="s">
        <v>145</v>
      </c>
      <c r="C46" s="193" t="s">
        <v>59</v>
      </c>
      <c r="D46" s="19">
        <v>34051.64</v>
      </c>
      <c r="E46" s="19">
        <v>17025.82</v>
      </c>
      <c r="F46" s="170">
        <v>27552.841980000001</v>
      </c>
      <c r="G46" s="19">
        <v>10527.021980000001</v>
      </c>
      <c r="H46" s="158">
        <v>61.829750226420821</v>
      </c>
      <c r="I46" s="242"/>
    </row>
    <row r="47" spans="1:9" ht="12.75" customHeight="1" x14ac:dyDescent="0.25">
      <c r="A47" s="174" t="s">
        <v>165</v>
      </c>
      <c r="B47" s="162" t="s">
        <v>531</v>
      </c>
      <c r="C47" s="193" t="s">
        <v>59</v>
      </c>
      <c r="D47" s="159">
        <v>0</v>
      </c>
      <c r="E47" s="159">
        <v>0</v>
      </c>
      <c r="F47" s="168"/>
      <c r="G47" s="19">
        <v>0</v>
      </c>
      <c r="H47" s="158"/>
      <c r="I47" s="242"/>
    </row>
    <row r="48" spans="1:9" ht="12.75" customHeight="1" x14ac:dyDescent="0.25">
      <c r="A48" s="174" t="s">
        <v>166</v>
      </c>
      <c r="B48" s="162" t="s">
        <v>138</v>
      </c>
      <c r="C48" s="193" t="s">
        <v>59</v>
      </c>
      <c r="D48" s="159">
        <v>8415.2800000000007</v>
      </c>
      <c r="E48" s="159">
        <v>4207.6400000000003</v>
      </c>
      <c r="F48" s="173">
        <v>28.494300000000003</v>
      </c>
      <c r="G48" s="19">
        <v>-4179.1457</v>
      </c>
      <c r="H48" s="158">
        <v>-99.32279615176202</v>
      </c>
      <c r="I48" s="242"/>
    </row>
    <row r="49" spans="1:9" ht="12.75" customHeight="1" x14ac:dyDescent="0.25">
      <c r="A49" s="174" t="s">
        <v>167</v>
      </c>
      <c r="B49" s="162" t="s">
        <v>8</v>
      </c>
      <c r="C49" s="193" t="s">
        <v>59</v>
      </c>
      <c r="D49" s="159">
        <v>545.66999999999996</v>
      </c>
      <c r="E49" s="159">
        <v>272.83499999999998</v>
      </c>
      <c r="F49" s="168">
        <v>972.25114499999995</v>
      </c>
      <c r="G49" s="19">
        <v>699.41614499999991</v>
      </c>
      <c r="H49" s="158">
        <v>256.3513277255484</v>
      </c>
      <c r="I49" s="242"/>
    </row>
    <row r="50" spans="1:9" ht="12.75" customHeight="1" x14ac:dyDescent="0.25">
      <c r="A50" s="174" t="s">
        <v>168</v>
      </c>
      <c r="B50" s="162" t="s">
        <v>11</v>
      </c>
      <c r="C50" s="193" t="s">
        <v>59</v>
      </c>
      <c r="D50" s="159">
        <v>350.76</v>
      </c>
      <c r="E50" s="159">
        <v>175.38</v>
      </c>
      <c r="F50" s="168">
        <v>327.00192000000004</v>
      </c>
      <c r="G50" s="19">
        <v>151.62192000000005</v>
      </c>
      <c r="H50" s="158">
        <v>86.453369825521747</v>
      </c>
      <c r="I50" s="242"/>
    </row>
    <row r="51" spans="1:9" ht="12.75" customHeight="1" x14ac:dyDescent="0.25">
      <c r="A51" s="174" t="s">
        <v>169</v>
      </c>
      <c r="B51" s="162" t="s">
        <v>139</v>
      </c>
      <c r="C51" s="193" t="s">
        <v>59</v>
      </c>
      <c r="D51" s="159">
        <v>5264.36</v>
      </c>
      <c r="E51" s="159">
        <v>2632.18</v>
      </c>
      <c r="F51" s="168">
        <v>1635.86904</v>
      </c>
      <c r="G51" s="19">
        <v>-996.3109599999998</v>
      </c>
      <c r="H51" s="158">
        <v>-37.851171272481359</v>
      </c>
      <c r="I51" s="242"/>
    </row>
    <row r="52" spans="1:9" ht="12.75" customHeight="1" x14ac:dyDescent="0.25">
      <c r="A52" s="174" t="s">
        <v>170</v>
      </c>
      <c r="B52" s="162" t="s">
        <v>107</v>
      </c>
      <c r="C52" s="193" t="s">
        <v>59</v>
      </c>
      <c r="D52" s="159">
        <v>2016.92</v>
      </c>
      <c r="E52" s="159">
        <v>1008.46</v>
      </c>
      <c r="F52" s="168">
        <v>0</v>
      </c>
      <c r="G52" s="19">
        <v>-1008.46</v>
      </c>
      <c r="H52" s="158">
        <v>-100</v>
      </c>
      <c r="I52" s="242"/>
    </row>
    <row r="53" spans="1:9" ht="12.75" customHeight="1" x14ac:dyDescent="0.25">
      <c r="A53" s="174" t="s">
        <v>171</v>
      </c>
      <c r="B53" s="162" t="s">
        <v>445</v>
      </c>
      <c r="C53" s="193" t="s">
        <v>59</v>
      </c>
      <c r="D53" s="159">
        <v>4659.97</v>
      </c>
      <c r="E53" s="159">
        <v>2329.9850000000001</v>
      </c>
      <c r="F53" s="168">
        <v>468.88103999999998</v>
      </c>
      <c r="G53" s="19">
        <v>-1861.1039600000001</v>
      </c>
      <c r="H53" s="158">
        <v>-79.876220662364787</v>
      </c>
      <c r="I53" s="242"/>
    </row>
    <row r="54" spans="1:9" ht="12.75" customHeight="1" x14ac:dyDescent="0.25">
      <c r="A54" s="174" t="s">
        <v>172</v>
      </c>
      <c r="B54" s="162" t="s">
        <v>141</v>
      </c>
      <c r="C54" s="193" t="s">
        <v>59</v>
      </c>
      <c r="D54" s="159">
        <v>702.82</v>
      </c>
      <c r="E54" s="159">
        <v>351.41</v>
      </c>
      <c r="F54" s="168">
        <v>310.88167499999997</v>
      </c>
      <c r="G54" s="19">
        <v>-40.528325000000052</v>
      </c>
      <c r="H54" s="158">
        <v>-11.533059673885219</v>
      </c>
      <c r="I54" s="242"/>
    </row>
    <row r="55" spans="1:9" ht="24.75" customHeight="1" x14ac:dyDescent="0.25">
      <c r="A55" s="174" t="s">
        <v>173</v>
      </c>
      <c r="B55" s="35" t="s">
        <v>140</v>
      </c>
      <c r="C55" s="193" t="s">
        <v>59</v>
      </c>
      <c r="D55" s="159">
        <v>164.94</v>
      </c>
      <c r="E55" s="159">
        <v>82.47</v>
      </c>
      <c r="F55" s="168">
        <v>1.26</v>
      </c>
      <c r="G55" s="19">
        <v>-81.209999999999994</v>
      </c>
      <c r="H55" s="158">
        <v>-98.472171698799556</v>
      </c>
      <c r="I55" s="242"/>
    </row>
    <row r="56" spans="1:9" ht="12.75" customHeight="1" x14ac:dyDescent="0.25">
      <c r="A56" s="174" t="s">
        <v>174</v>
      </c>
      <c r="B56" s="35" t="s">
        <v>142</v>
      </c>
      <c r="C56" s="193" t="s">
        <v>59</v>
      </c>
      <c r="D56" s="159"/>
      <c r="E56" s="159">
        <v>0</v>
      </c>
      <c r="F56" s="168">
        <v>0</v>
      </c>
      <c r="G56" s="19">
        <v>0</v>
      </c>
      <c r="H56" s="158"/>
      <c r="I56" s="242"/>
    </row>
    <row r="57" spans="1:9" x14ac:dyDescent="0.25">
      <c r="A57" s="174" t="s">
        <v>175</v>
      </c>
      <c r="B57" s="180" t="s">
        <v>233</v>
      </c>
      <c r="C57" s="193" t="s">
        <v>59</v>
      </c>
      <c r="D57" s="159">
        <v>80.900000000000006</v>
      </c>
      <c r="E57" s="159">
        <v>40.450000000000003</v>
      </c>
      <c r="F57" s="168">
        <v>76.789680000000004</v>
      </c>
      <c r="G57" s="19">
        <v>36.339680000000001</v>
      </c>
      <c r="H57" s="158">
        <v>89.838516687268239</v>
      </c>
      <c r="I57" s="242"/>
    </row>
    <row r="58" spans="1:9" x14ac:dyDescent="0.25">
      <c r="A58" s="174" t="s">
        <v>176</v>
      </c>
      <c r="B58" s="35" t="s">
        <v>235</v>
      </c>
      <c r="C58" s="193" t="s">
        <v>59</v>
      </c>
      <c r="D58" s="159">
        <v>115.4</v>
      </c>
      <c r="E58" s="159">
        <v>57.7</v>
      </c>
      <c r="F58" s="168">
        <v>0</v>
      </c>
      <c r="G58" s="19">
        <v>-57.7</v>
      </c>
      <c r="H58" s="158">
        <v>-100</v>
      </c>
      <c r="I58" s="242"/>
    </row>
    <row r="59" spans="1:9" ht="12.75" customHeight="1" x14ac:dyDescent="0.25">
      <c r="A59" s="174" t="s">
        <v>177</v>
      </c>
      <c r="B59" s="175" t="s">
        <v>331</v>
      </c>
      <c r="C59" s="193" t="s">
        <v>59</v>
      </c>
      <c r="D59" s="159">
        <v>0</v>
      </c>
      <c r="E59" s="159">
        <v>0</v>
      </c>
      <c r="F59" s="168">
        <v>0</v>
      </c>
      <c r="G59" s="19">
        <v>0</v>
      </c>
      <c r="H59" s="158"/>
      <c r="I59" s="242"/>
    </row>
    <row r="60" spans="1:9" ht="12.75" customHeight="1" x14ac:dyDescent="0.25">
      <c r="A60" s="174" t="s">
        <v>178</v>
      </c>
      <c r="B60" s="175" t="s">
        <v>144</v>
      </c>
      <c r="C60" s="193" t="s">
        <v>59</v>
      </c>
      <c r="D60" s="159">
        <v>96.59</v>
      </c>
      <c r="E60" s="159">
        <v>48.295000000000002</v>
      </c>
      <c r="F60" s="168">
        <v>0</v>
      </c>
      <c r="G60" s="19">
        <v>-48.295000000000002</v>
      </c>
      <c r="H60" s="158">
        <v>-100</v>
      </c>
      <c r="I60" s="242"/>
    </row>
    <row r="61" spans="1:9" ht="12.75" customHeight="1" x14ac:dyDescent="0.25">
      <c r="A61" s="174" t="s">
        <v>179</v>
      </c>
      <c r="B61" s="175" t="s">
        <v>228</v>
      </c>
      <c r="C61" s="193" t="s">
        <v>59</v>
      </c>
      <c r="D61" s="159">
        <v>145.26</v>
      </c>
      <c r="E61" s="159">
        <v>72.63</v>
      </c>
      <c r="F61" s="168">
        <v>285.50891999999999</v>
      </c>
      <c r="G61" s="19">
        <v>212.87891999999999</v>
      </c>
      <c r="H61" s="158">
        <v>293.100536968195</v>
      </c>
      <c r="I61" s="242"/>
    </row>
    <row r="62" spans="1:9" ht="12.75" customHeight="1" x14ac:dyDescent="0.25">
      <c r="A62" s="174" t="s">
        <v>180</v>
      </c>
      <c r="B62" s="175" t="s">
        <v>330</v>
      </c>
      <c r="C62" s="193" t="s">
        <v>59</v>
      </c>
      <c r="D62" s="159">
        <v>1750.79</v>
      </c>
      <c r="E62" s="159">
        <v>875.39499999999998</v>
      </c>
      <c r="F62" s="168">
        <v>407.04108000000002</v>
      </c>
      <c r="G62" s="19">
        <v>-468.35391999999996</v>
      </c>
      <c r="H62" s="158">
        <v>-53.502009949794093</v>
      </c>
      <c r="I62" s="242"/>
    </row>
    <row r="63" spans="1:9" ht="12.75" customHeight="1" x14ac:dyDescent="0.25">
      <c r="A63" s="174" t="s">
        <v>181</v>
      </c>
      <c r="B63" s="175" t="s">
        <v>147</v>
      </c>
      <c r="C63" s="193" t="s">
        <v>59</v>
      </c>
      <c r="D63" s="159">
        <v>84.91</v>
      </c>
      <c r="E63" s="159">
        <v>42.454999999999998</v>
      </c>
      <c r="F63" s="168">
        <v>0</v>
      </c>
      <c r="G63" s="19">
        <v>-42.454999999999998</v>
      </c>
      <c r="H63" s="158">
        <v>-100</v>
      </c>
      <c r="I63" s="242"/>
    </row>
    <row r="64" spans="1:9" ht="12.75" customHeight="1" x14ac:dyDescent="0.25">
      <c r="A64" s="174" t="s">
        <v>182</v>
      </c>
      <c r="B64" s="175" t="s">
        <v>155</v>
      </c>
      <c r="C64" s="193" t="s">
        <v>59</v>
      </c>
      <c r="D64" s="159">
        <v>1471.95</v>
      </c>
      <c r="E64" s="159">
        <v>735.97500000000002</v>
      </c>
      <c r="F64" s="168">
        <v>383.61</v>
      </c>
      <c r="G64" s="19">
        <v>-352.36500000000001</v>
      </c>
      <c r="H64" s="158">
        <v>-47.877305615000509</v>
      </c>
      <c r="I64" s="242"/>
    </row>
    <row r="65" spans="1:9" x14ac:dyDescent="0.25">
      <c r="A65" s="174" t="s">
        <v>183</v>
      </c>
      <c r="B65" s="180" t="s">
        <v>234</v>
      </c>
      <c r="C65" s="193" t="s">
        <v>59</v>
      </c>
      <c r="D65" s="159">
        <v>894.59</v>
      </c>
      <c r="E65" s="159">
        <v>447.29499999999996</v>
      </c>
      <c r="F65" s="168">
        <v>196.64999999999998</v>
      </c>
      <c r="G65" s="19">
        <v>-250.64499999999998</v>
      </c>
      <c r="H65" s="158">
        <v>-56.035725863244615</v>
      </c>
      <c r="I65" s="242"/>
    </row>
    <row r="66" spans="1:9" ht="12.75" customHeight="1" x14ac:dyDescent="0.25">
      <c r="A66" s="174" t="s">
        <v>184</v>
      </c>
      <c r="B66" s="175" t="s">
        <v>90</v>
      </c>
      <c r="C66" s="193" t="s">
        <v>59</v>
      </c>
      <c r="D66" s="159">
        <v>134.66</v>
      </c>
      <c r="E66" s="159">
        <v>67.33</v>
      </c>
      <c r="F66" s="168">
        <v>583.81769999999995</v>
      </c>
      <c r="G66" s="19">
        <v>516.4876999999999</v>
      </c>
      <c r="H66" s="158">
        <v>767.09891578791019</v>
      </c>
      <c r="I66" s="242"/>
    </row>
    <row r="67" spans="1:9" ht="12.75" customHeight="1" x14ac:dyDescent="0.25">
      <c r="A67" s="174" t="s">
        <v>185</v>
      </c>
      <c r="B67" s="175" t="s">
        <v>121</v>
      </c>
      <c r="C67" s="193" t="s">
        <v>59</v>
      </c>
      <c r="D67" s="159">
        <v>551.62</v>
      </c>
      <c r="E67" s="159">
        <v>275.81</v>
      </c>
      <c r="F67" s="168">
        <v>570.51064500000007</v>
      </c>
      <c r="G67" s="19">
        <v>294.70064500000007</v>
      </c>
      <c r="H67" s="158">
        <v>106.84915158986261</v>
      </c>
      <c r="I67" s="242"/>
    </row>
    <row r="68" spans="1:9" ht="12.75" customHeight="1" x14ac:dyDescent="0.25">
      <c r="A68" s="174" t="s">
        <v>186</v>
      </c>
      <c r="B68" s="175" t="s">
        <v>126</v>
      </c>
      <c r="C68" s="193" t="s">
        <v>59</v>
      </c>
      <c r="D68" s="159">
        <v>257.42</v>
      </c>
      <c r="E68" s="159">
        <v>128.71</v>
      </c>
      <c r="F68" s="168">
        <v>225.77699999999999</v>
      </c>
      <c r="G68" s="19">
        <v>97.066999999999979</v>
      </c>
      <c r="H68" s="158">
        <v>75.415274648434448</v>
      </c>
      <c r="I68" s="242"/>
    </row>
    <row r="69" spans="1:9" ht="12.75" customHeight="1" x14ac:dyDescent="0.25">
      <c r="A69" s="174" t="s">
        <v>187</v>
      </c>
      <c r="B69" s="175" t="s">
        <v>161</v>
      </c>
      <c r="C69" s="193" t="s">
        <v>59</v>
      </c>
      <c r="D69" s="159">
        <v>492.56</v>
      </c>
      <c r="E69" s="159">
        <v>246.28</v>
      </c>
      <c r="F69" s="168">
        <v>0</v>
      </c>
      <c r="G69" s="19">
        <v>-246.28</v>
      </c>
      <c r="H69" s="158">
        <v>-100</v>
      </c>
      <c r="I69" s="242"/>
    </row>
    <row r="70" spans="1:9" ht="12.75" customHeight="1" x14ac:dyDescent="0.25">
      <c r="A70" s="174" t="s">
        <v>188</v>
      </c>
      <c r="B70" s="175" t="s">
        <v>151</v>
      </c>
      <c r="C70" s="193" t="s">
        <v>59</v>
      </c>
      <c r="D70" s="159">
        <v>35.4</v>
      </c>
      <c r="E70" s="159">
        <v>17.7</v>
      </c>
      <c r="F70" s="168">
        <v>0</v>
      </c>
      <c r="G70" s="19">
        <v>-17.7</v>
      </c>
      <c r="H70" s="158">
        <v>-100</v>
      </c>
      <c r="I70" s="242"/>
    </row>
    <row r="71" spans="1:9" ht="12.75" customHeight="1" x14ac:dyDescent="0.25">
      <c r="A71" s="174" t="s">
        <v>189</v>
      </c>
      <c r="B71" s="175" t="s">
        <v>162</v>
      </c>
      <c r="C71" s="193" t="s">
        <v>59</v>
      </c>
      <c r="D71" s="159">
        <v>449.51</v>
      </c>
      <c r="E71" s="159">
        <v>224.755</v>
      </c>
      <c r="F71" s="168">
        <v>199.11363</v>
      </c>
      <c r="G71" s="19">
        <v>-25.641369999999995</v>
      </c>
      <c r="H71" s="158">
        <v>-11.408587128206268</v>
      </c>
      <c r="I71" s="242"/>
    </row>
    <row r="72" spans="1:9" ht="12.75" customHeight="1" x14ac:dyDescent="0.25">
      <c r="A72" s="174" t="s">
        <v>190</v>
      </c>
      <c r="B72" s="175" t="s">
        <v>530</v>
      </c>
      <c r="C72" s="193" t="s">
        <v>59</v>
      </c>
      <c r="D72" s="159">
        <v>0</v>
      </c>
      <c r="E72" s="159">
        <v>0</v>
      </c>
      <c r="F72" s="168">
        <v>0</v>
      </c>
      <c r="G72" s="19">
        <v>0</v>
      </c>
      <c r="H72" s="158"/>
      <c r="I72" s="242"/>
    </row>
    <row r="73" spans="1:9" ht="12.75" customHeight="1" x14ac:dyDescent="0.25">
      <c r="A73" s="174" t="s">
        <v>191</v>
      </c>
      <c r="B73" s="175" t="s">
        <v>332</v>
      </c>
      <c r="C73" s="193"/>
      <c r="D73" s="159">
        <v>2142.73</v>
      </c>
      <c r="E73" s="159">
        <v>1071.365</v>
      </c>
      <c r="F73" s="168">
        <v>0</v>
      </c>
      <c r="G73" s="19">
        <v>-1071.365</v>
      </c>
      <c r="H73" s="158">
        <v>-100</v>
      </c>
      <c r="I73" s="242"/>
    </row>
    <row r="74" spans="1:9" ht="12.75" customHeight="1" x14ac:dyDescent="0.25">
      <c r="A74" s="174" t="s">
        <v>402</v>
      </c>
      <c r="B74" s="175" t="s">
        <v>457</v>
      </c>
      <c r="C74" s="193" t="s">
        <v>59</v>
      </c>
      <c r="D74" s="159">
        <v>3226.63</v>
      </c>
      <c r="E74" s="159">
        <v>1613.3150000000001</v>
      </c>
      <c r="F74" s="166">
        <v>20879.384205000002</v>
      </c>
      <c r="G74" s="19">
        <v>19266.069205000003</v>
      </c>
      <c r="H74" s="158">
        <v>1194.1914136420974</v>
      </c>
      <c r="I74" s="243"/>
    </row>
    <row r="75" spans="1:9" ht="12.75" customHeight="1" x14ac:dyDescent="0.25">
      <c r="A75" s="183" t="s">
        <v>67</v>
      </c>
      <c r="B75" s="157" t="s">
        <v>55</v>
      </c>
      <c r="C75" s="190" t="s">
        <v>59</v>
      </c>
      <c r="D75" s="19">
        <v>447816.76365583367</v>
      </c>
      <c r="E75" s="19">
        <v>223908.38182791683</v>
      </c>
      <c r="F75" s="170">
        <v>188931.96462000004</v>
      </c>
      <c r="G75" s="19">
        <v>-34976.417207916791</v>
      </c>
      <c r="H75" s="158">
        <v>-15.620861051462406</v>
      </c>
      <c r="I75" s="194"/>
    </row>
    <row r="76" spans="1:9" ht="12.75" customHeight="1" x14ac:dyDescent="0.25">
      <c r="A76" s="183" t="s">
        <v>10</v>
      </c>
      <c r="B76" s="165" t="s">
        <v>433</v>
      </c>
      <c r="C76" s="190" t="s">
        <v>59</v>
      </c>
      <c r="D76" s="19">
        <v>135471.24089166668</v>
      </c>
      <c r="E76" s="19">
        <v>67735.620445833338</v>
      </c>
      <c r="F76" s="170">
        <v>66637.29012000002</v>
      </c>
      <c r="G76" s="19">
        <v>-1098.3303258333181</v>
      </c>
      <c r="H76" s="158">
        <v>-1.6214959257834338</v>
      </c>
      <c r="I76" s="196"/>
    </row>
    <row r="77" spans="1:9" ht="12.75" customHeight="1" x14ac:dyDescent="0.25">
      <c r="A77" s="174" t="s">
        <v>41</v>
      </c>
      <c r="B77" s="35" t="s">
        <v>40</v>
      </c>
      <c r="C77" s="193" t="s">
        <v>59</v>
      </c>
      <c r="D77" s="159">
        <v>68854.616666666669</v>
      </c>
      <c r="E77" s="159">
        <v>34427.308333333334</v>
      </c>
      <c r="F77" s="168">
        <v>41015.688630000004</v>
      </c>
      <c r="G77" s="19">
        <v>6588.3802966666699</v>
      </c>
      <c r="H77" s="158">
        <v>19.137076395506774</v>
      </c>
      <c r="I77" s="194"/>
    </row>
    <row r="78" spans="1:9" ht="12.75" customHeight="1" x14ac:dyDescent="0.25">
      <c r="A78" s="174" t="s">
        <v>42</v>
      </c>
      <c r="B78" s="35" t="s">
        <v>100</v>
      </c>
      <c r="C78" s="193" t="s">
        <v>99</v>
      </c>
      <c r="D78" s="159">
        <v>229515.38888888888</v>
      </c>
      <c r="E78" s="159">
        <v>229515.38888888888</v>
      </c>
      <c r="F78" s="159">
        <v>342997.8978926242</v>
      </c>
      <c r="G78" s="19">
        <v>113482.50900373532</v>
      </c>
      <c r="H78" s="158">
        <v>49.444400897524808</v>
      </c>
      <c r="I78" s="194"/>
    </row>
    <row r="79" spans="1:9" ht="12.75" customHeight="1" x14ac:dyDescent="0.25">
      <c r="A79" s="174" t="s">
        <v>43</v>
      </c>
      <c r="B79" s="35" t="s">
        <v>109</v>
      </c>
      <c r="C79" s="193" t="s">
        <v>101</v>
      </c>
      <c r="D79" s="159">
        <v>25</v>
      </c>
      <c r="E79" s="159">
        <v>25</v>
      </c>
      <c r="F79" s="168">
        <v>19.93</v>
      </c>
      <c r="G79" s="19">
        <v>-5.07</v>
      </c>
      <c r="H79" s="158">
        <v>-20.28</v>
      </c>
      <c r="I79" s="194"/>
    </row>
    <row r="80" spans="1:9" ht="12.75" customHeight="1" x14ac:dyDescent="0.25">
      <c r="A80" s="174" t="s">
        <v>44</v>
      </c>
      <c r="B80" s="35" t="s">
        <v>21</v>
      </c>
      <c r="C80" s="193" t="s">
        <v>59</v>
      </c>
      <c r="D80" s="159">
        <v>5887.0697250000003</v>
      </c>
      <c r="E80" s="159">
        <v>2943.5348625000001</v>
      </c>
      <c r="F80" s="168">
        <v>3970.9246349999999</v>
      </c>
      <c r="G80" s="19">
        <v>1027.3897724999997</v>
      </c>
      <c r="H80" s="158">
        <v>34.903264968549344</v>
      </c>
      <c r="I80" s="194"/>
    </row>
    <row r="81" spans="1:9" ht="12.75" customHeight="1" x14ac:dyDescent="0.25">
      <c r="A81" s="174"/>
      <c r="B81" s="176" t="s">
        <v>560</v>
      </c>
      <c r="C81" s="193"/>
      <c r="D81" s="159">
        <v>1032.81925</v>
      </c>
      <c r="E81" s="159">
        <v>516.40962500000001</v>
      </c>
      <c r="F81" s="168">
        <v>469.94903999999997</v>
      </c>
      <c r="G81" s="19"/>
      <c r="H81" s="158">
        <v>0</v>
      </c>
      <c r="I81" s="194"/>
    </row>
    <row r="82" spans="1:9" ht="12.75" customHeight="1" x14ac:dyDescent="0.25">
      <c r="A82" s="174"/>
      <c r="B82" s="176" t="s">
        <v>561</v>
      </c>
      <c r="C82" s="193"/>
      <c r="D82" s="159"/>
      <c r="E82" s="159">
        <v>0</v>
      </c>
      <c r="F82" s="168">
        <v>0</v>
      </c>
      <c r="G82" s="19"/>
      <c r="H82" s="158"/>
      <c r="I82" s="194"/>
    </row>
    <row r="83" spans="1:9" ht="13.5" customHeight="1" x14ac:dyDescent="0.25">
      <c r="A83" s="174" t="s">
        <v>45</v>
      </c>
      <c r="B83" s="35" t="s">
        <v>68</v>
      </c>
      <c r="C83" s="193" t="s">
        <v>59</v>
      </c>
      <c r="D83" s="159">
        <v>18476.78</v>
      </c>
      <c r="E83" s="159">
        <v>9238.39</v>
      </c>
      <c r="F83" s="168">
        <v>7281.126045</v>
      </c>
      <c r="G83" s="19">
        <v>-1957.2639549999994</v>
      </c>
      <c r="H83" s="158">
        <v>-21.186201870672267</v>
      </c>
      <c r="I83" s="194"/>
    </row>
    <row r="84" spans="1:9" ht="12.75" customHeight="1" x14ac:dyDescent="0.25">
      <c r="A84" s="174" t="s">
        <v>87</v>
      </c>
      <c r="B84" s="35" t="s">
        <v>46</v>
      </c>
      <c r="C84" s="193" t="s">
        <v>59</v>
      </c>
      <c r="D84" s="159">
        <v>392.3</v>
      </c>
      <c r="E84" s="159">
        <v>196.15000000000003</v>
      </c>
      <c r="F84" s="168">
        <v>9.7714350000000003</v>
      </c>
      <c r="G84" s="19">
        <v>-186.37856500000004</v>
      </c>
      <c r="H84" s="158">
        <v>-95.01838643894979</v>
      </c>
      <c r="I84" s="241"/>
    </row>
    <row r="85" spans="1:9" ht="12" customHeight="1" x14ac:dyDescent="0.25">
      <c r="A85" s="174" t="s">
        <v>344</v>
      </c>
      <c r="B85" s="35" t="s">
        <v>28</v>
      </c>
      <c r="C85" s="193" t="s">
        <v>59</v>
      </c>
      <c r="D85" s="159">
        <v>10794.14</v>
      </c>
      <c r="E85" s="159">
        <v>5397.07</v>
      </c>
      <c r="F85" s="168">
        <v>1698.6301350000001</v>
      </c>
      <c r="G85" s="19">
        <v>-3698.4398649999994</v>
      </c>
      <c r="H85" s="158">
        <v>-68.526809268732848</v>
      </c>
      <c r="I85" s="242"/>
    </row>
    <row r="86" spans="1:9" ht="12.75" customHeight="1" x14ac:dyDescent="0.25">
      <c r="A86" s="174" t="s">
        <v>345</v>
      </c>
      <c r="B86" s="35" t="s">
        <v>53</v>
      </c>
      <c r="C86" s="193" t="s">
        <v>59</v>
      </c>
      <c r="D86" s="19">
        <v>30033.515250000004</v>
      </c>
      <c r="E86" s="19">
        <v>15016.757625000002</v>
      </c>
      <c r="F86" s="170">
        <v>12191.200200000001</v>
      </c>
      <c r="G86" s="19">
        <v>-2825.5574250000009</v>
      </c>
      <c r="H86" s="158">
        <v>-18.816028703133579</v>
      </c>
      <c r="I86" s="242"/>
    </row>
    <row r="87" spans="1:9" ht="12.75" customHeight="1" x14ac:dyDescent="0.25">
      <c r="A87" s="174"/>
      <c r="B87" s="35" t="s">
        <v>69</v>
      </c>
      <c r="C87" s="193" t="s">
        <v>59</v>
      </c>
      <c r="D87" s="159">
        <v>2195.9699999999998</v>
      </c>
      <c r="E87" s="159">
        <v>1097.9849999999999</v>
      </c>
      <c r="F87" s="168">
        <v>3636.0409650000001</v>
      </c>
      <c r="G87" s="19">
        <v>2538.0559650000005</v>
      </c>
      <c r="H87" s="158">
        <v>231.15579584420561</v>
      </c>
      <c r="I87" s="242"/>
    </row>
    <row r="88" spans="1:9" ht="12.75" customHeight="1" x14ac:dyDescent="0.25">
      <c r="A88" s="174"/>
      <c r="B88" s="35" t="s">
        <v>16</v>
      </c>
      <c r="C88" s="193" t="s">
        <v>59</v>
      </c>
      <c r="D88" s="159">
        <v>1174.83</v>
      </c>
      <c r="E88" s="159">
        <v>587.41499999999996</v>
      </c>
      <c r="F88" s="168">
        <v>531.63028499999996</v>
      </c>
      <c r="G88" s="19">
        <v>-55.784715000000006</v>
      </c>
      <c r="H88" s="158">
        <v>-9.4966446209238811</v>
      </c>
      <c r="I88" s="242"/>
    </row>
    <row r="89" spans="1:9" ht="13.5" customHeight="1" x14ac:dyDescent="0.25">
      <c r="A89" s="174"/>
      <c r="B89" s="35" t="s">
        <v>386</v>
      </c>
      <c r="C89" s="193" t="s">
        <v>59</v>
      </c>
      <c r="D89" s="159">
        <v>1390.94</v>
      </c>
      <c r="E89" s="159">
        <v>695.47</v>
      </c>
      <c r="F89" s="168">
        <v>203.64411000000001</v>
      </c>
      <c r="G89" s="19">
        <v>-491.82589000000002</v>
      </c>
      <c r="H89" s="158">
        <v>-70.71849109235481</v>
      </c>
      <c r="I89" s="242"/>
    </row>
    <row r="90" spans="1:9" ht="12.75" customHeight="1" x14ac:dyDescent="0.25">
      <c r="A90" s="174"/>
      <c r="B90" s="35" t="s">
        <v>29</v>
      </c>
      <c r="C90" s="193" t="s">
        <v>59</v>
      </c>
      <c r="D90" s="159">
        <v>14537.435249999999</v>
      </c>
      <c r="E90" s="159">
        <v>7268.7176249999993</v>
      </c>
      <c r="F90" s="168">
        <v>1304.6267849999999</v>
      </c>
      <c r="G90" s="19">
        <v>-5964.0908399999989</v>
      </c>
      <c r="H90" s="158">
        <v>-82.051486213842281</v>
      </c>
      <c r="I90" s="242"/>
    </row>
    <row r="91" spans="1:9" ht="12.75" customHeight="1" x14ac:dyDescent="0.25">
      <c r="A91" s="174"/>
      <c r="B91" s="35" t="s">
        <v>90</v>
      </c>
      <c r="C91" s="193" t="s">
        <v>59</v>
      </c>
      <c r="D91" s="159">
        <v>385.27</v>
      </c>
      <c r="E91" s="159">
        <v>192.63499999999999</v>
      </c>
      <c r="F91" s="168">
        <v>517.70799</v>
      </c>
      <c r="G91" s="19">
        <v>325.07299</v>
      </c>
      <c r="H91" s="158">
        <v>168.75074103875204</v>
      </c>
      <c r="I91" s="242"/>
    </row>
    <row r="92" spans="1:9" ht="12.75" customHeight="1" x14ac:dyDescent="0.25">
      <c r="A92" s="174"/>
      <c r="B92" s="35" t="s">
        <v>13</v>
      </c>
      <c r="C92" s="193" t="s">
        <v>59</v>
      </c>
      <c r="D92" s="159">
        <v>334.11</v>
      </c>
      <c r="E92" s="159">
        <v>167.05500000000001</v>
      </c>
      <c r="F92" s="168">
        <v>853.56789000000003</v>
      </c>
      <c r="G92" s="19">
        <v>686.51288999999997</v>
      </c>
      <c r="H92" s="158">
        <v>410.95021998742925</v>
      </c>
      <c r="I92" s="242"/>
    </row>
    <row r="93" spans="1:9" ht="12.75" customHeight="1" x14ac:dyDescent="0.25">
      <c r="A93" s="174"/>
      <c r="B93" s="35" t="s">
        <v>83</v>
      </c>
      <c r="C93" s="193" t="s">
        <v>59</v>
      </c>
      <c r="D93" s="159">
        <v>110.22</v>
      </c>
      <c r="E93" s="159">
        <v>55.11</v>
      </c>
      <c r="F93" s="168">
        <v>23.966115000000002</v>
      </c>
      <c r="G93" s="19">
        <v>-31.143884999999997</v>
      </c>
      <c r="H93" s="158">
        <v>-56.512221012520413</v>
      </c>
      <c r="I93" s="242"/>
    </row>
    <row r="94" spans="1:9" ht="12.75" customHeight="1" x14ac:dyDescent="0.25">
      <c r="A94" s="174"/>
      <c r="B94" s="157" t="s">
        <v>145</v>
      </c>
      <c r="C94" s="193" t="s">
        <v>59</v>
      </c>
      <c r="D94" s="19">
        <v>9904.7400000000016</v>
      </c>
      <c r="E94" s="19">
        <v>4952.3700000000008</v>
      </c>
      <c r="F94" s="170">
        <v>5120.0160599999999</v>
      </c>
      <c r="G94" s="19">
        <v>167.64605999999912</v>
      </c>
      <c r="H94" s="158">
        <v>3.3851683133529828</v>
      </c>
      <c r="I94" s="242"/>
    </row>
    <row r="95" spans="1:9" ht="12.75" customHeight="1" x14ac:dyDescent="0.25">
      <c r="A95" s="174"/>
      <c r="B95" s="35" t="s">
        <v>8</v>
      </c>
      <c r="C95" s="193" t="s">
        <v>59</v>
      </c>
      <c r="D95" s="159">
        <v>49.32</v>
      </c>
      <c r="E95" s="159">
        <v>24.660000000000004</v>
      </c>
      <c r="F95" s="168">
        <v>54.00282</v>
      </c>
      <c r="G95" s="19">
        <v>29.342819999999996</v>
      </c>
      <c r="H95" s="158">
        <v>118.98953771289536</v>
      </c>
      <c r="I95" s="242"/>
    </row>
    <row r="96" spans="1:9" ht="12.75" customHeight="1" x14ac:dyDescent="0.25">
      <c r="A96" s="174"/>
      <c r="B96" s="35" t="s">
        <v>98</v>
      </c>
      <c r="C96" s="193" t="s">
        <v>59</v>
      </c>
      <c r="D96" s="159">
        <v>517</v>
      </c>
      <c r="E96" s="159">
        <v>258.5</v>
      </c>
      <c r="F96" s="168">
        <v>570.86362500000007</v>
      </c>
      <c r="G96" s="19">
        <v>312.36362500000007</v>
      </c>
      <c r="H96" s="158">
        <v>120.8369922630561</v>
      </c>
      <c r="I96" s="242"/>
    </row>
    <row r="97" spans="1:9" ht="12.75" customHeight="1" x14ac:dyDescent="0.25">
      <c r="A97" s="174"/>
      <c r="B97" s="35" t="s">
        <v>110</v>
      </c>
      <c r="C97" s="193" t="s">
        <v>59</v>
      </c>
      <c r="D97" s="159">
        <v>796.92</v>
      </c>
      <c r="E97" s="159">
        <v>398.46</v>
      </c>
      <c r="F97" s="168">
        <v>613.19377499999996</v>
      </c>
      <c r="G97" s="19">
        <v>214.73377499999998</v>
      </c>
      <c r="H97" s="158">
        <v>53.890923806655621</v>
      </c>
      <c r="I97" s="242"/>
    </row>
    <row r="98" spans="1:9" ht="12.75" customHeight="1" x14ac:dyDescent="0.25">
      <c r="A98" s="174"/>
      <c r="B98" s="35" t="s">
        <v>12</v>
      </c>
      <c r="C98" s="193" t="s">
        <v>59</v>
      </c>
      <c r="D98" s="159">
        <v>209.18</v>
      </c>
      <c r="E98" s="159">
        <v>104.59</v>
      </c>
      <c r="F98" s="168">
        <v>0</v>
      </c>
      <c r="G98" s="19">
        <v>-104.59</v>
      </c>
      <c r="H98" s="158">
        <v>-100</v>
      </c>
      <c r="I98" s="242"/>
    </row>
    <row r="99" spans="1:9" ht="12.75" customHeight="1" x14ac:dyDescent="0.25">
      <c r="A99" s="174"/>
      <c r="B99" s="35" t="s">
        <v>149</v>
      </c>
      <c r="C99" s="193" t="s">
        <v>59</v>
      </c>
      <c r="D99" s="159">
        <v>34.72</v>
      </c>
      <c r="E99" s="159">
        <v>17.36</v>
      </c>
      <c r="F99" s="168">
        <v>63.208950000000002</v>
      </c>
      <c r="G99" s="19">
        <v>45.848950000000002</v>
      </c>
      <c r="H99" s="158">
        <v>264.10685483870969</v>
      </c>
      <c r="I99" s="242"/>
    </row>
    <row r="100" spans="1:9" ht="12.75" customHeight="1" x14ac:dyDescent="0.25">
      <c r="A100" s="174"/>
      <c r="B100" s="177" t="s">
        <v>150</v>
      </c>
      <c r="C100" s="193" t="s">
        <v>59</v>
      </c>
      <c r="D100" s="159">
        <v>20.66</v>
      </c>
      <c r="E100" s="159">
        <v>10.33</v>
      </c>
      <c r="F100" s="168">
        <v>0</v>
      </c>
      <c r="G100" s="19">
        <v>-10.33</v>
      </c>
      <c r="H100" s="158">
        <v>-100</v>
      </c>
      <c r="I100" s="242"/>
    </row>
    <row r="101" spans="1:9" ht="12.75" hidden="1" customHeight="1" x14ac:dyDescent="0.25">
      <c r="A101" s="174"/>
      <c r="B101" s="180" t="s">
        <v>148</v>
      </c>
      <c r="C101" s="193" t="s">
        <v>59</v>
      </c>
      <c r="D101" s="159"/>
      <c r="E101" s="159">
        <v>0</v>
      </c>
      <c r="F101" s="168"/>
      <c r="G101" s="19">
        <v>0</v>
      </c>
      <c r="H101" s="158" t="e">
        <v>#DIV/0!</v>
      </c>
      <c r="I101" s="242"/>
    </row>
    <row r="102" spans="1:9" ht="12.75" customHeight="1" x14ac:dyDescent="0.25">
      <c r="A102" s="174"/>
      <c r="B102" s="180" t="s">
        <v>151</v>
      </c>
      <c r="C102" s="193" t="s">
        <v>59</v>
      </c>
      <c r="D102" s="159">
        <v>36.770000000000003</v>
      </c>
      <c r="E102" s="159">
        <v>18.385000000000002</v>
      </c>
      <c r="F102" s="168">
        <v>0</v>
      </c>
      <c r="G102" s="19">
        <v>-18.385000000000002</v>
      </c>
      <c r="H102" s="158">
        <v>-100</v>
      </c>
      <c r="I102" s="242"/>
    </row>
    <row r="103" spans="1:9" ht="12.75" hidden="1" customHeight="1" x14ac:dyDescent="0.25">
      <c r="A103" s="174"/>
      <c r="B103" s="180" t="s">
        <v>152</v>
      </c>
      <c r="C103" s="193" t="s">
        <v>59</v>
      </c>
      <c r="D103" s="159"/>
      <c r="E103" s="159">
        <v>0</v>
      </c>
      <c r="F103" s="168"/>
      <c r="G103" s="19">
        <v>0</v>
      </c>
      <c r="H103" s="158" t="e">
        <v>#DIV/0!</v>
      </c>
      <c r="I103" s="242"/>
    </row>
    <row r="104" spans="1:9" ht="12.75" customHeight="1" x14ac:dyDescent="0.25">
      <c r="A104" s="174"/>
      <c r="B104" s="180" t="s">
        <v>15</v>
      </c>
      <c r="C104" s="193" t="s">
        <v>59</v>
      </c>
      <c r="D104" s="159">
        <v>1028.82</v>
      </c>
      <c r="E104" s="159">
        <v>514.41</v>
      </c>
      <c r="F104" s="168">
        <v>598.5</v>
      </c>
      <c r="G104" s="19">
        <v>84.090000000000032</v>
      </c>
      <c r="H104" s="158">
        <v>16.346882836647815</v>
      </c>
      <c r="I104" s="242"/>
    </row>
    <row r="105" spans="1:9" ht="12.75" customHeight="1" x14ac:dyDescent="0.25">
      <c r="A105" s="174"/>
      <c r="B105" s="180" t="s">
        <v>6</v>
      </c>
      <c r="C105" s="193" t="s">
        <v>59</v>
      </c>
      <c r="D105" s="159">
        <v>68.680000000000007</v>
      </c>
      <c r="E105" s="159">
        <v>34.340000000000003</v>
      </c>
      <c r="F105" s="168">
        <v>0</v>
      </c>
      <c r="G105" s="19">
        <v>-34.340000000000003</v>
      </c>
      <c r="H105" s="158">
        <v>-100</v>
      </c>
      <c r="I105" s="242"/>
    </row>
    <row r="106" spans="1:9" ht="12.75" customHeight="1" x14ac:dyDescent="0.25">
      <c r="A106" s="174"/>
      <c r="B106" s="180" t="s">
        <v>120</v>
      </c>
      <c r="C106" s="193" t="s">
        <v>59</v>
      </c>
      <c r="D106" s="159">
        <v>922.71</v>
      </c>
      <c r="E106" s="159">
        <v>461.35500000000002</v>
      </c>
      <c r="F106" s="168">
        <v>232.736985</v>
      </c>
      <c r="G106" s="19">
        <v>-228.61801500000001</v>
      </c>
      <c r="H106" s="158">
        <v>-49.55360080632051</v>
      </c>
      <c r="I106" s="242"/>
    </row>
    <row r="107" spans="1:9" ht="12.75" customHeight="1" x14ac:dyDescent="0.25">
      <c r="A107" s="174"/>
      <c r="B107" s="180" t="s">
        <v>156</v>
      </c>
      <c r="C107" s="193" t="s">
        <v>59</v>
      </c>
      <c r="D107" s="159">
        <v>624.41</v>
      </c>
      <c r="E107" s="159">
        <v>312.20499999999998</v>
      </c>
      <c r="F107" s="168">
        <v>0</v>
      </c>
      <c r="G107" s="19">
        <v>-312.20499999999998</v>
      </c>
      <c r="H107" s="158">
        <v>-100</v>
      </c>
      <c r="I107" s="242"/>
    </row>
    <row r="108" spans="1:9" ht="12.75" hidden="1" customHeight="1" x14ac:dyDescent="0.25">
      <c r="A108" s="174"/>
      <c r="B108" s="180" t="s">
        <v>157</v>
      </c>
      <c r="C108" s="193" t="s">
        <v>59</v>
      </c>
      <c r="D108" s="159"/>
      <c r="E108" s="159">
        <v>0</v>
      </c>
      <c r="F108" s="168"/>
      <c r="G108" s="19">
        <v>0</v>
      </c>
      <c r="H108" s="158" t="e">
        <v>#DIV/0!</v>
      </c>
      <c r="I108" s="242"/>
    </row>
    <row r="109" spans="1:9" ht="12.75" hidden="1" customHeight="1" x14ac:dyDescent="0.25">
      <c r="A109" s="174"/>
      <c r="B109" s="180" t="s">
        <v>124</v>
      </c>
      <c r="C109" s="193" t="s">
        <v>59</v>
      </c>
      <c r="D109" s="159"/>
      <c r="E109" s="159">
        <v>0</v>
      </c>
      <c r="F109" s="168"/>
      <c r="G109" s="19">
        <v>0</v>
      </c>
      <c r="H109" s="158" t="e">
        <v>#DIV/0!</v>
      </c>
      <c r="I109" s="242"/>
    </row>
    <row r="110" spans="1:9" ht="12.75" hidden="1" customHeight="1" x14ac:dyDescent="0.25">
      <c r="A110" s="174"/>
      <c r="B110" s="180" t="s">
        <v>123</v>
      </c>
      <c r="C110" s="193" t="s">
        <v>59</v>
      </c>
      <c r="D110" s="159"/>
      <c r="E110" s="159">
        <v>0</v>
      </c>
      <c r="F110" s="168"/>
      <c r="G110" s="19">
        <v>0</v>
      </c>
      <c r="H110" s="158" t="e">
        <v>#DIV/0!</v>
      </c>
      <c r="I110" s="242"/>
    </row>
    <row r="111" spans="1:9" ht="12.75" customHeight="1" x14ac:dyDescent="0.25">
      <c r="A111" s="174"/>
      <c r="B111" s="175" t="s">
        <v>162</v>
      </c>
      <c r="C111" s="193" t="s">
        <v>59</v>
      </c>
      <c r="D111" s="159">
        <v>54.62</v>
      </c>
      <c r="E111" s="159">
        <v>27.310000000000002</v>
      </c>
      <c r="F111" s="168">
        <v>220.59143999999998</v>
      </c>
      <c r="G111" s="19">
        <v>193.28143999999998</v>
      </c>
      <c r="H111" s="158">
        <v>707.7313804467226</v>
      </c>
      <c r="I111" s="242"/>
    </row>
    <row r="112" spans="1:9" ht="12.75" hidden="1" customHeight="1" x14ac:dyDescent="0.25">
      <c r="A112" s="174"/>
      <c r="B112" s="175" t="s">
        <v>259</v>
      </c>
      <c r="C112" s="193" t="s">
        <v>59</v>
      </c>
      <c r="D112" s="159"/>
      <c r="E112" s="159">
        <v>0</v>
      </c>
      <c r="F112" s="168"/>
      <c r="G112" s="19">
        <v>0</v>
      </c>
      <c r="H112" s="158" t="e">
        <v>#DIV/0!</v>
      </c>
      <c r="I112" s="242"/>
    </row>
    <row r="113" spans="1:9" ht="12.75" customHeight="1" x14ac:dyDescent="0.25">
      <c r="A113" s="174"/>
      <c r="B113" s="180" t="s">
        <v>158</v>
      </c>
      <c r="C113" s="193" t="s">
        <v>59</v>
      </c>
      <c r="D113" s="159">
        <v>5540.93</v>
      </c>
      <c r="E113" s="159">
        <v>2770.4650000000001</v>
      </c>
      <c r="F113" s="168">
        <v>2766.9184649999997</v>
      </c>
      <c r="G113" s="19">
        <v>-3.5465350000004037</v>
      </c>
      <c r="H113" s="158">
        <v>-0.12801226508908806</v>
      </c>
      <c r="I113" s="243"/>
    </row>
    <row r="114" spans="1:9" ht="12.75" customHeight="1" x14ac:dyDescent="0.25">
      <c r="A114" s="183" t="s">
        <v>14</v>
      </c>
      <c r="B114" s="157" t="s">
        <v>434</v>
      </c>
      <c r="C114" s="190" t="s">
        <v>59</v>
      </c>
      <c r="D114" s="19">
        <v>175763.60276416698</v>
      </c>
      <c r="E114" s="19">
        <v>87881.801382083489</v>
      </c>
      <c r="F114" s="170">
        <v>80294.674500000008</v>
      </c>
      <c r="G114" s="19">
        <v>-7587.1268820834812</v>
      </c>
      <c r="H114" s="158">
        <v>-8.6333310910377765</v>
      </c>
      <c r="I114" s="196"/>
    </row>
    <row r="115" spans="1:9" ht="12.75" customHeight="1" x14ac:dyDescent="0.25">
      <c r="A115" s="174" t="s">
        <v>47</v>
      </c>
      <c r="B115" s="35" t="s">
        <v>20</v>
      </c>
      <c r="C115" s="193" t="s">
        <v>59</v>
      </c>
      <c r="D115" s="159">
        <v>131820.161666667</v>
      </c>
      <c r="E115" s="159">
        <v>65910.080833333501</v>
      </c>
      <c r="F115" s="168">
        <v>53094.292979999998</v>
      </c>
      <c r="G115" s="19">
        <v>-12815.787853333502</v>
      </c>
      <c r="H115" s="158">
        <v>-19.444351594319421</v>
      </c>
      <c r="I115" s="194"/>
    </row>
    <row r="116" spans="1:9" ht="12.75" customHeight="1" x14ac:dyDescent="0.25">
      <c r="A116" s="174" t="s">
        <v>48</v>
      </c>
      <c r="B116" s="35" t="s">
        <v>100</v>
      </c>
      <c r="C116" s="193" t="s">
        <v>99</v>
      </c>
      <c r="D116" s="159">
        <v>215392.42102396567</v>
      </c>
      <c r="E116" s="159">
        <v>215392.42102396567</v>
      </c>
      <c r="F116" s="159">
        <v>214939.24775321831</v>
      </c>
      <c r="G116" s="19">
        <v>-453.17327074735658</v>
      </c>
      <c r="H116" s="158">
        <v>-0.21039425091792535</v>
      </c>
      <c r="I116" s="194"/>
    </row>
    <row r="117" spans="1:9" ht="12.75" customHeight="1" x14ac:dyDescent="0.25">
      <c r="A117" s="174" t="s">
        <v>49</v>
      </c>
      <c r="B117" s="35" t="s">
        <v>111</v>
      </c>
      <c r="C117" s="193" t="s">
        <v>101</v>
      </c>
      <c r="D117" s="159">
        <v>51</v>
      </c>
      <c r="E117" s="159">
        <v>51</v>
      </c>
      <c r="F117" s="168">
        <v>41.17</v>
      </c>
      <c r="G117" s="19">
        <v>-9.8299999999999983</v>
      </c>
      <c r="H117" s="158">
        <v>-19.274509803921568</v>
      </c>
      <c r="I117" s="194"/>
    </row>
    <row r="118" spans="1:9" ht="12.75" customHeight="1" x14ac:dyDescent="0.25">
      <c r="A118" s="174" t="s">
        <v>50</v>
      </c>
      <c r="B118" s="35" t="s">
        <v>334</v>
      </c>
      <c r="C118" s="193" t="s">
        <v>59</v>
      </c>
      <c r="D118" s="159">
        <v>11270.623822500002</v>
      </c>
      <c r="E118" s="159">
        <v>5635.3119112500008</v>
      </c>
      <c r="F118" s="168">
        <v>5053.4079599999995</v>
      </c>
      <c r="G118" s="19">
        <v>-581.90395125000123</v>
      </c>
      <c r="H118" s="158">
        <v>-10.32602916066319</v>
      </c>
      <c r="I118" s="194"/>
    </row>
    <row r="119" spans="1:9" ht="12.75" customHeight="1" x14ac:dyDescent="0.25">
      <c r="A119" s="174"/>
      <c r="B119" s="176" t="s">
        <v>560</v>
      </c>
      <c r="C119" s="193"/>
      <c r="D119" s="159">
        <v>1977.3024250000051</v>
      </c>
      <c r="E119" s="159">
        <v>988.65121250000266</v>
      </c>
      <c r="F119" s="168">
        <v>670.93434000000002</v>
      </c>
      <c r="G119" s="19"/>
      <c r="H119" s="158">
        <v>0</v>
      </c>
      <c r="I119" s="194"/>
    </row>
    <row r="120" spans="1:9" ht="12.75" customHeight="1" x14ac:dyDescent="0.25">
      <c r="A120" s="174" t="s">
        <v>51</v>
      </c>
      <c r="B120" s="35" t="s">
        <v>28</v>
      </c>
      <c r="C120" s="193" t="s">
        <v>59</v>
      </c>
      <c r="D120" s="159">
        <v>874.72</v>
      </c>
      <c r="E120" s="159">
        <v>437.36</v>
      </c>
      <c r="F120" s="168">
        <v>604.15909499999998</v>
      </c>
      <c r="G120" s="19">
        <v>166.79909499999997</v>
      </c>
      <c r="H120" s="158">
        <v>38.137711496250219</v>
      </c>
      <c r="I120" s="194"/>
    </row>
    <row r="121" spans="1:9" ht="12.75" customHeight="1" x14ac:dyDescent="0.25">
      <c r="A121" s="174" t="s">
        <v>346</v>
      </c>
      <c r="B121" s="35" t="s">
        <v>153</v>
      </c>
      <c r="C121" s="193" t="s">
        <v>59</v>
      </c>
      <c r="D121" s="159">
        <v>164.08</v>
      </c>
      <c r="E121" s="159">
        <v>82.04</v>
      </c>
      <c r="F121" s="168">
        <v>0</v>
      </c>
      <c r="G121" s="19">
        <v>-82.04</v>
      </c>
      <c r="H121" s="158">
        <v>-100</v>
      </c>
      <c r="I121" s="194"/>
    </row>
    <row r="122" spans="1:9" ht="12.75" customHeight="1" x14ac:dyDescent="0.25">
      <c r="A122" s="174" t="s">
        <v>347</v>
      </c>
      <c r="B122" s="157" t="s">
        <v>53</v>
      </c>
      <c r="C122" s="193" t="s">
        <v>59</v>
      </c>
      <c r="D122" s="19">
        <v>29656.714849999997</v>
      </c>
      <c r="E122" s="19">
        <v>14828.357424999998</v>
      </c>
      <c r="F122" s="170">
        <v>20871.880125000003</v>
      </c>
      <c r="G122" s="19">
        <v>6043.522700000005</v>
      </c>
      <c r="H122" s="158">
        <v>40.756521621274622</v>
      </c>
      <c r="I122" s="194"/>
    </row>
    <row r="123" spans="1:9" ht="12.75" customHeight="1" x14ac:dyDescent="0.25">
      <c r="A123" s="174" t="s">
        <v>348</v>
      </c>
      <c r="B123" s="35" t="s">
        <v>154</v>
      </c>
      <c r="C123" s="193" t="s">
        <v>59</v>
      </c>
      <c r="D123" s="159">
        <v>376.83</v>
      </c>
      <c r="E123" s="159">
        <v>188.41499999999999</v>
      </c>
      <c r="F123" s="168">
        <v>424.04783999999995</v>
      </c>
      <c r="G123" s="19">
        <v>235.63283999999996</v>
      </c>
      <c r="H123" s="158">
        <v>125.06055250378152</v>
      </c>
      <c r="I123" s="194"/>
    </row>
    <row r="124" spans="1:9" ht="12.75" hidden="1" customHeight="1" x14ac:dyDescent="0.25">
      <c r="A124" s="174" t="s">
        <v>349</v>
      </c>
      <c r="B124" s="35" t="s">
        <v>52</v>
      </c>
      <c r="C124" s="193" t="s">
        <v>59</v>
      </c>
      <c r="D124" s="159"/>
      <c r="E124" s="159">
        <v>0</v>
      </c>
      <c r="F124" s="168"/>
      <c r="G124" s="19">
        <v>0</v>
      </c>
      <c r="H124" s="158" t="e">
        <v>#DIV/0!</v>
      </c>
      <c r="I124" s="194"/>
    </row>
    <row r="125" spans="1:9" ht="12.75" customHeight="1" x14ac:dyDescent="0.25">
      <c r="A125" s="174" t="s">
        <v>350</v>
      </c>
      <c r="B125" s="35" t="s">
        <v>69</v>
      </c>
      <c r="C125" s="193" t="s">
        <v>59</v>
      </c>
      <c r="D125" s="159">
        <v>1465.68</v>
      </c>
      <c r="E125" s="159">
        <v>732.84</v>
      </c>
      <c r="F125" s="168">
        <v>1015.16511</v>
      </c>
      <c r="G125" s="19">
        <v>282.32511</v>
      </c>
      <c r="H125" s="158">
        <v>38.524795316849513</v>
      </c>
      <c r="I125" s="194"/>
    </row>
    <row r="126" spans="1:9" ht="12.75" customHeight="1" x14ac:dyDescent="0.25">
      <c r="A126" s="174" t="s">
        <v>400</v>
      </c>
      <c r="B126" s="35" t="s">
        <v>16</v>
      </c>
      <c r="C126" s="193" t="s">
        <v>59</v>
      </c>
      <c r="D126" s="159">
        <v>1124.8599999999999</v>
      </c>
      <c r="E126" s="159">
        <v>562.42999999999995</v>
      </c>
      <c r="F126" s="168">
        <v>9872.4599999999991</v>
      </c>
      <c r="G126" s="19">
        <v>9310.0299999999988</v>
      </c>
      <c r="H126" s="158">
        <v>1655.3224401258824</v>
      </c>
      <c r="I126" s="194"/>
    </row>
    <row r="127" spans="1:9" ht="12.75" customHeight="1" x14ac:dyDescent="0.25">
      <c r="A127" s="174" t="s">
        <v>401</v>
      </c>
      <c r="B127" s="35" t="s">
        <v>29</v>
      </c>
      <c r="C127" s="193" t="s">
        <v>59</v>
      </c>
      <c r="D127" s="159">
        <v>14179.314849999999</v>
      </c>
      <c r="E127" s="159">
        <v>7089.6574249999994</v>
      </c>
      <c r="F127" s="168">
        <v>2001.63888</v>
      </c>
      <c r="G127" s="19">
        <v>-5088.018544999999</v>
      </c>
      <c r="H127" s="158">
        <v>-71.766775740930797</v>
      </c>
      <c r="I127" s="194"/>
    </row>
    <row r="128" spans="1:9" ht="12.75" customHeight="1" x14ac:dyDescent="0.25">
      <c r="A128" s="174" t="s">
        <v>351</v>
      </c>
      <c r="B128" s="157" t="s">
        <v>145</v>
      </c>
      <c r="C128" s="193" t="s">
        <v>59</v>
      </c>
      <c r="D128" s="19">
        <v>12510.03</v>
      </c>
      <c r="E128" s="19">
        <v>6255.0150000000003</v>
      </c>
      <c r="F128" s="170">
        <v>7558.5682950000009</v>
      </c>
      <c r="G128" s="19">
        <v>1303.5532950000006</v>
      </c>
      <c r="H128" s="158">
        <v>20.840130599207203</v>
      </c>
      <c r="I128" s="194"/>
    </row>
    <row r="129" spans="1:9" ht="12.75" customHeight="1" x14ac:dyDescent="0.25">
      <c r="A129" s="174"/>
      <c r="B129" s="35" t="s">
        <v>335</v>
      </c>
      <c r="C129" s="193" t="s">
        <v>59</v>
      </c>
      <c r="D129" s="159">
        <v>520.41999999999996</v>
      </c>
      <c r="E129" s="159">
        <v>260.20999999999998</v>
      </c>
      <c r="F129" s="168">
        <v>0</v>
      </c>
      <c r="G129" s="19">
        <v>-260.20999999999998</v>
      </c>
      <c r="H129" s="158">
        <v>-100</v>
      </c>
      <c r="I129" s="194"/>
    </row>
    <row r="130" spans="1:9" ht="22.5" customHeight="1" x14ac:dyDescent="0.25">
      <c r="A130" s="174"/>
      <c r="B130" s="35" t="s">
        <v>336</v>
      </c>
      <c r="C130" s="193" t="s">
        <v>59</v>
      </c>
      <c r="D130" s="159">
        <v>785.57</v>
      </c>
      <c r="E130" s="159">
        <v>392.78500000000003</v>
      </c>
      <c r="F130" s="168">
        <v>2013.86301</v>
      </c>
      <c r="G130" s="19">
        <v>1621.0780099999999</v>
      </c>
      <c r="H130" s="158">
        <v>412.71382817571947</v>
      </c>
      <c r="I130" s="194"/>
    </row>
    <row r="131" spans="1:9" ht="12.75" customHeight="1" x14ac:dyDescent="0.25">
      <c r="A131" s="174"/>
      <c r="B131" s="35" t="s">
        <v>98</v>
      </c>
      <c r="C131" s="193" t="s">
        <v>59</v>
      </c>
      <c r="D131" s="159">
        <v>1759.76</v>
      </c>
      <c r="E131" s="159">
        <v>879.88000000000011</v>
      </c>
      <c r="F131" s="168">
        <v>1148.1711</v>
      </c>
      <c r="G131" s="19">
        <v>268.29109999999991</v>
      </c>
      <c r="H131" s="158">
        <v>30.49178297040504</v>
      </c>
      <c r="I131" s="194"/>
    </row>
    <row r="132" spans="1:9" ht="12.75" customHeight="1" x14ac:dyDescent="0.25">
      <c r="A132" s="174"/>
      <c r="B132" s="35" t="s">
        <v>66</v>
      </c>
      <c r="C132" s="193" t="s">
        <v>59</v>
      </c>
      <c r="D132" s="159">
        <v>409.06</v>
      </c>
      <c r="E132" s="159">
        <v>204.52999999999997</v>
      </c>
      <c r="F132" s="168">
        <v>0</v>
      </c>
      <c r="G132" s="19">
        <v>-204.52999999999997</v>
      </c>
      <c r="H132" s="158">
        <v>-100</v>
      </c>
      <c r="I132" s="194"/>
    </row>
    <row r="133" spans="1:9" ht="12.75" customHeight="1" x14ac:dyDescent="0.25">
      <c r="A133" s="174"/>
      <c r="B133" s="35" t="s">
        <v>156</v>
      </c>
      <c r="C133" s="193" t="s">
        <v>59</v>
      </c>
      <c r="D133" s="159">
        <v>153.94999999999999</v>
      </c>
      <c r="E133" s="159">
        <v>76.974999999999994</v>
      </c>
      <c r="F133" s="168">
        <v>34.673670000000001</v>
      </c>
      <c r="G133" s="19">
        <v>-42.301329999999993</v>
      </c>
      <c r="H133" s="158">
        <v>-54.95463462163039</v>
      </c>
      <c r="I133" s="194"/>
    </row>
    <row r="134" spans="1:9" ht="12.75" customHeight="1" x14ac:dyDescent="0.25">
      <c r="A134" s="174"/>
      <c r="B134" s="35" t="s">
        <v>337</v>
      </c>
      <c r="C134" s="193" t="s">
        <v>59</v>
      </c>
      <c r="D134" s="159">
        <v>8427</v>
      </c>
      <c r="E134" s="159">
        <v>4213.5</v>
      </c>
      <c r="F134" s="168">
        <v>0</v>
      </c>
      <c r="G134" s="19">
        <v>-4213.5</v>
      </c>
      <c r="H134" s="158">
        <v>-100</v>
      </c>
      <c r="I134" s="194"/>
    </row>
    <row r="135" spans="1:9" ht="21.75" customHeight="1" x14ac:dyDescent="0.25">
      <c r="A135" s="174"/>
      <c r="B135" s="35" t="s">
        <v>338</v>
      </c>
      <c r="C135" s="193" t="s">
        <v>59</v>
      </c>
      <c r="D135" s="159">
        <v>454.27</v>
      </c>
      <c r="E135" s="159">
        <v>227.13499999999999</v>
      </c>
      <c r="F135" s="168"/>
      <c r="G135" s="19">
        <v>-227.13499999999999</v>
      </c>
      <c r="H135" s="158">
        <v>-100</v>
      </c>
      <c r="I135" s="194"/>
    </row>
    <row r="136" spans="1:9" ht="18" customHeight="1" x14ac:dyDescent="0.25">
      <c r="A136" s="174"/>
      <c r="B136" s="35" t="s">
        <v>532</v>
      </c>
      <c r="C136" s="193"/>
      <c r="D136" s="159"/>
      <c r="E136" s="159">
        <v>0</v>
      </c>
      <c r="F136" s="168">
        <v>4361.8605150000003</v>
      </c>
      <c r="G136" s="19">
        <v>4361.8605150000003</v>
      </c>
      <c r="H136" s="158"/>
      <c r="I136" s="194"/>
    </row>
    <row r="137" spans="1:9" ht="12.75" customHeight="1" x14ac:dyDescent="0.25">
      <c r="A137" s="183" t="s">
        <v>133</v>
      </c>
      <c r="B137" s="178" t="s">
        <v>554</v>
      </c>
      <c r="C137" s="190" t="s">
        <v>59</v>
      </c>
      <c r="D137" s="19">
        <v>136581.92000000001</v>
      </c>
      <c r="E137" s="19">
        <v>68290.960000000006</v>
      </c>
      <c r="F137" s="166">
        <v>42000</v>
      </c>
      <c r="G137" s="19">
        <v>-26290.960000000006</v>
      </c>
      <c r="H137" s="158">
        <v>-38.498448403712594</v>
      </c>
      <c r="I137" s="194"/>
    </row>
    <row r="138" spans="1:9" ht="12.75" customHeight="1" x14ac:dyDescent="0.25">
      <c r="A138" s="183"/>
      <c r="B138" s="180" t="s">
        <v>216</v>
      </c>
      <c r="C138" s="193" t="s">
        <v>59</v>
      </c>
      <c r="D138" s="179">
        <v>136165.92000000001</v>
      </c>
      <c r="E138" s="159">
        <v>68082.960000000006</v>
      </c>
      <c r="F138" s="172">
        <v>42000</v>
      </c>
      <c r="G138" s="19">
        <v>-26082.960000000006</v>
      </c>
      <c r="H138" s="158">
        <v>-38.310555240253954</v>
      </c>
      <c r="I138" s="194"/>
    </row>
    <row r="139" spans="1:9" ht="21.75" customHeight="1" x14ac:dyDescent="0.25">
      <c r="A139" s="183"/>
      <c r="B139" s="180" t="s">
        <v>352</v>
      </c>
      <c r="C139" s="193" t="s">
        <v>59</v>
      </c>
      <c r="D139" s="179"/>
      <c r="E139" s="159"/>
      <c r="F139" s="168"/>
      <c r="G139" s="19">
        <v>0</v>
      </c>
      <c r="H139" s="158"/>
      <c r="I139" s="194"/>
    </row>
    <row r="140" spans="1:9" ht="12.75" customHeight="1" x14ac:dyDescent="0.25">
      <c r="A140" s="183"/>
      <c r="B140" s="180" t="s">
        <v>217</v>
      </c>
      <c r="C140" s="193" t="s">
        <v>59</v>
      </c>
      <c r="D140" s="179">
        <v>416</v>
      </c>
      <c r="E140" s="159">
        <v>208</v>
      </c>
      <c r="F140" s="172"/>
      <c r="G140" s="19">
        <v>-208</v>
      </c>
      <c r="H140" s="158">
        <v>-100</v>
      </c>
      <c r="I140" s="194"/>
    </row>
    <row r="141" spans="1:9" ht="12.75" customHeight="1" x14ac:dyDescent="0.25">
      <c r="A141" s="183" t="s">
        <v>71</v>
      </c>
      <c r="B141" s="157" t="s">
        <v>219</v>
      </c>
      <c r="C141" s="190" t="s">
        <v>59</v>
      </c>
      <c r="D141" s="181">
        <v>2965294.3276797934</v>
      </c>
      <c r="E141" s="181">
        <v>1482647.1638398967</v>
      </c>
      <c r="F141" s="170">
        <v>1557296.6728225001</v>
      </c>
      <c r="G141" s="19">
        <v>74649.508982603438</v>
      </c>
      <c r="H141" s="158">
        <v>5.0348802333570202</v>
      </c>
      <c r="I141" s="194"/>
    </row>
    <row r="142" spans="1:9" ht="12.75" customHeight="1" x14ac:dyDescent="0.25">
      <c r="A142" s="183" t="s">
        <v>72</v>
      </c>
      <c r="B142" s="157" t="s">
        <v>564</v>
      </c>
      <c r="C142" s="190" t="s">
        <v>59</v>
      </c>
      <c r="D142" s="181">
        <v>0</v>
      </c>
      <c r="E142" s="159"/>
      <c r="F142" s="182">
        <v>-94704.328462500125</v>
      </c>
      <c r="G142" s="19">
        <v>-94704.328462500125</v>
      </c>
      <c r="H142" s="158"/>
      <c r="I142" s="194"/>
    </row>
    <row r="143" spans="1:9" ht="12.75" hidden="1" customHeight="1" x14ac:dyDescent="0.25">
      <c r="A143" s="183"/>
      <c r="B143" s="35" t="s">
        <v>231</v>
      </c>
      <c r="C143" s="193" t="s">
        <v>59</v>
      </c>
      <c r="D143" s="159"/>
      <c r="E143" s="159">
        <v>0</v>
      </c>
      <c r="F143" s="168"/>
      <c r="G143" s="19">
        <v>0</v>
      </c>
      <c r="H143" s="158" t="e">
        <v>#DIV/0!</v>
      </c>
      <c r="I143" s="194"/>
    </row>
    <row r="144" spans="1:9" ht="12.75" hidden="1" customHeight="1" x14ac:dyDescent="0.25">
      <c r="A144" s="183"/>
      <c r="B144" s="35" t="s">
        <v>232</v>
      </c>
      <c r="C144" s="193" t="s">
        <v>59</v>
      </c>
      <c r="D144" s="159"/>
      <c r="E144" s="159">
        <v>0</v>
      </c>
      <c r="F144" s="168"/>
      <c r="G144" s="19">
        <v>0</v>
      </c>
      <c r="H144" s="158" t="e">
        <v>#DIV/0!</v>
      </c>
      <c r="I144" s="194"/>
    </row>
    <row r="145" spans="1:9" ht="12.75" customHeight="1" x14ac:dyDescent="0.25">
      <c r="A145" s="183" t="s">
        <v>73</v>
      </c>
      <c r="B145" s="178" t="s">
        <v>555</v>
      </c>
      <c r="C145" s="190" t="s">
        <v>59</v>
      </c>
      <c r="D145" s="19">
        <v>152672.15</v>
      </c>
      <c r="E145" s="159">
        <v>76336.074999999997</v>
      </c>
      <c r="F145" s="182">
        <v>93321</v>
      </c>
      <c r="G145" s="19">
        <v>16984.925000000003</v>
      </c>
      <c r="H145" s="158">
        <v>22.250194288873253</v>
      </c>
      <c r="I145" s="197"/>
    </row>
    <row r="146" spans="1:9" ht="24" x14ac:dyDescent="0.25">
      <c r="A146" s="183" t="s">
        <v>74</v>
      </c>
      <c r="B146" s="178" t="s">
        <v>215</v>
      </c>
      <c r="C146" s="190" t="s">
        <v>59</v>
      </c>
      <c r="D146" s="19">
        <v>173524</v>
      </c>
      <c r="E146" s="159">
        <v>86762</v>
      </c>
      <c r="F146" s="182"/>
      <c r="G146" s="19">
        <v>-86762</v>
      </c>
      <c r="H146" s="158">
        <v>-100</v>
      </c>
      <c r="I146" s="194"/>
    </row>
    <row r="147" spans="1:9" ht="12.75" customHeight="1" x14ac:dyDescent="0.25">
      <c r="A147" s="183" t="s">
        <v>75</v>
      </c>
      <c r="B147" s="157" t="s">
        <v>339</v>
      </c>
      <c r="C147" s="193" t="s">
        <v>59</v>
      </c>
      <c r="D147" s="19">
        <v>6561443.9800000004</v>
      </c>
      <c r="E147" s="159">
        <v>6561443.9800000004</v>
      </c>
      <c r="F147" s="168">
        <v>6561443.9800000004</v>
      </c>
      <c r="G147" s="19">
        <v>0</v>
      </c>
      <c r="H147" s="158">
        <v>0</v>
      </c>
      <c r="I147" s="194"/>
    </row>
    <row r="148" spans="1:9" ht="26.25" customHeight="1" x14ac:dyDescent="0.25">
      <c r="A148" s="198" t="s">
        <v>76</v>
      </c>
      <c r="B148" s="157" t="s">
        <v>54</v>
      </c>
      <c r="C148" s="190" t="s">
        <v>59</v>
      </c>
      <c r="D148" s="19">
        <v>3291490.4776797933</v>
      </c>
      <c r="E148" s="159">
        <v>1645745.2388398964</v>
      </c>
      <c r="F148" s="166">
        <v>1555913.34436</v>
      </c>
      <c r="G148" s="19">
        <v>-89831.894479896408</v>
      </c>
      <c r="H148" s="158">
        <v>-5.4584325908923716</v>
      </c>
      <c r="I148" s="194" t="s">
        <v>442</v>
      </c>
    </row>
    <row r="149" spans="1:9" ht="12.75" customHeight="1" x14ac:dyDescent="0.25">
      <c r="A149" s="198"/>
      <c r="B149" s="35" t="s">
        <v>340</v>
      </c>
      <c r="C149" s="190"/>
      <c r="D149" s="179">
        <v>791667</v>
      </c>
      <c r="E149" s="159">
        <v>395833.5</v>
      </c>
      <c r="F149" s="168">
        <v>365862.02811999997</v>
      </c>
      <c r="G149" s="19">
        <v>-29971.471880000026</v>
      </c>
      <c r="H149" s="158">
        <v>-7.571737076321237</v>
      </c>
      <c r="I149" s="194"/>
    </row>
    <row r="150" spans="1:9" ht="59.25" customHeight="1" x14ac:dyDescent="0.25">
      <c r="A150" s="198"/>
      <c r="B150" s="184" t="s">
        <v>353</v>
      </c>
      <c r="C150" s="190"/>
      <c r="D150" s="179">
        <v>444220</v>
      </c>
      <c r="E150" s="159">
        <v>222110</v>
      </c>
      <c r="F150" s="199">
        <v>186538.48334999999</v>
      </c>
      <c r="G150" s="19">
        <v>-35571.516650000005</v>
      </c>
      <c r="H150" s="158">
        <v>-16.015270203953001</v>
      </c>
      <c r="I150" s="194"/>
    </row>
    <row r="151" spans="1:9" ht="12.75" customHeight="1" x14ac:dyDescent="0.25">
      <c r="A151" s="198"/>
      <c r="B151" s="35" t="s">
        <v>341</v>
      </c>
      <c r="C151" s="190"/>
      <c r="D151" s="179">
        <v>1359056</v>
      </c>
      <c r="E151" s="159">
        <v>679528</v>
      </c>
      <c r="F151" s="200">
        <v>670270.08308000013</v>
      </c>
      <c r="G151" s="19">
        <v>-9257.9169199998723</v>
      </c>
      <c r="H151" s="158">
        <v>-1.3624040392743011</v>
      </c>
      <c r="I151" s="194"/>
    </row>
    <row r="152" spans="1:9" ht="12.75" customHeight="1" x14ac:dyDescent="0.25">
      <c r="A152" s="198"/>
      <c r="B152" s="35" t="s">
        <v>342</v>
      </c>
      <c r="C152" s="190"/>
      <c r="D152" s="179">
        <v>696547</v>
      </c>
      <c r="E152" s="159">
        <v>348273.5</v>
      </c>
      <c r="F152" s="200">
        <v>333242.74980999995</v>
      </c>
      <c r="G152" s="19">
        <v>-15030.75019000005</v>
      </c>
      <c r="H152" s="158">
        <v>-4.3157892259962498</v>
      </c>
      <c r="I152" s="194"/>
    </row>
    <row r="153" spans="1:9" ht="12.75" customHeight="1" x14ac:dyDescent="0.25">
      <c r="A153" s="198" t="s">
        <v>78</v>
      </c>
      <c r="B153" s="157" t="s">
        <v>128</v>
      </c>
      <c r="C153" s="190" t="s">
        <v>77</v>
      </c>
      <c r="D153" s="19">
        <v>16558.510000000002</v>
      </c>
      <c r="E153" s="166">
        <v>8279.255000000001</v>
      </c>
      <c r="F153" s="166">
        <v>7874.2469769999998</v>
      </c>
      <c r="G153" s="19">
        <v>-405.00802300000123</v>
      </c>
      <c r="H153" s="158">
        <v>-4.8918413915261842</v>
      </c>
      <c r="I153" s="194" t="s">
        <v>442</v>
      </c>
    </row>
    <row r="154" spans="1:9" ht="12.75" customHeight="1" x14ac:dyDescent="0.25">
      <c r="A154" s="198"/>
      <c r="B154" s="35" t="s">
        <v>340</v>
      </c>
      <c r="C154" s="190"/>
      <c r="D154" s="179">
        <v>8546</v>
      </c>
      <c r="E154" s="159">
        <v>4273</v>
      </c>
      <c r="F154" s="201">
        <v>4022.1857870000003</v>
      </c>
      <c r="G154" s="19">
        <v>-250.81421299999965</v>
      </c>
      <c r="H154" s="158">
        <v>-5.8697452141352597</v>
      </c>
      <c r="I154" s="194"/>
    </row>
    <row r="155" spans="1:9" ht="59.25" customHeight="1" x14ac:dyDescent="0.25">
      <c r="A155" s="198"/>
      <c r="B155" s="184" t="s">
        <v>343</v>
      </c>
      <c r="C155" s="190"/>
      <c r="D155" s="179">
        <v>3923.7</v>
      </c>
      <c r="E155" s="159">
        <v>1961.85</v>
      </c>
      <c r="F155" s="168">
        <v>1684.4010000000001</v>
      </c>
      <c r="G155" s="19">
        <v>-277.44899999999984</v>
      </c>
      <c r="H155" s="158">
        <v>-14.142212707393526</v>
      </c>
      <c r="I155" s="194"/>
    </row>
    <row r="156" spans="1:9" ht="12.75" customHeight="1" x14ac:dyDescent="0.25">
      <c r="A156" s="198"/>
      <c r="B156" s="35" t="s">
        <v>341</v>
      </c>
      <c r="C156" s="190"/>
      <c r="D156" s="179">
        <v>3659.19</v>
      </c>
      <c r="E156" s="159">
        <v>1829.595</v>
      </c>
      <c r="F156" s="168">
        <v>1958.3313099999996</v>
      </c>
      <c r="G156" s="19">
        <v>128.73630999999955</v>
      </c>
      <c r="H156" s="158">
        <v>7.0363282584396849</v>
      </c>
      <c r="I156" s="194"/>
    </row>
    <row r="157" spans="1:9" ht="12.75" customHeight="1" x14ac:dyDescent="0.25">
      <c r="A157" s="198"/>
      <c r="B157" s="35" t="s">
        <v>342</v>
      </c>
      <c r="C157" s="190"/>
      <c r="D157" s="179">
        <v>429.62</v>
      </c>
      <c r="E157" s="159">
        <v>214.81</v>
      </c>
      <c r="F157" s="168">
        <v>209.32888000000003</v>
      </c>
      <c r="G157" s="19">
        <v>-5.4811199999999758</v>
      </c>
      <c r="H157" s="158">
        <v>-2.5516130533960131</v>
      </c>
      <c r="I157" s="194"/>
    </row>
    <row r="158" spans="1:9" ht="12.75" customHeight="1" x14ac:dyDescent="0.25">
      <c r="A158" s="247" t="s">
        <v>117</v>
      </c>
      <c r="B158" s="248" t="s">
        <v>222</v>
      </c>
      <c r="C158" s="190" t="s">
        <v>79</v>
      </c>
      <c r="D158" s="181">
        <v>14.94</v>
      </c>
      <c r="E158" s="170">
        <v>14.94</v>
      </c>
      <c r="F158" s="185">
        <v>14.943366002368901</v>
      </c>
      <c r="G158" s="19">
        <v>3.3660023689012775E-3</v>
      </c>
      <c r="H158" s="158">
        <v>2.2530136338027293E-2</v>
      </c>
      <c r="I158" s="194"/>
    </row>
    <row r="159" spans="1:9" ht="12.75" customHeight="1" x14ac:dyDescent="0.25">
      <c r="A159" s="247"/>
      <c r="B159" s="248"/>
      <c r="C159" s="190" t="s">
        <v>77</v>
      </c>
      <c r="D159" s="181">
        <v>2849</v>
      </c>
      <c r="E159" s="170">
        <v>1424.5</v>
      </c>
      <c r="F159" s="166">
        <v>2082.0736559999996</v>
      </c>
      <c r="G159" s="19">
        <v>657.57365599999957</v>
      </c>
      <c r="H159" s="158">
        <v>46.161716812916779</v>
      </c>
      <c r="I159" s="194"/>
    </row>
    <row r="160" spans="1:9" ht="24" x14ac:dyDescent="0.25">
      <c r="A160" s="183" t="s">
        <v>118</v>
      </c>
      <c r="B160" s="157" t="s">
        <v>80</v>
      </c>
      <c r="C160" s="190" t="s">
        <v>81</v>
      </c>
      <c r="D160" s="19">
        <v>198.77938761880102</v>
      </c>
      <c r="E160" s="166">
        <v>198.779387618801</v>
      </c>
      <c r="F160" s="166">
        <v>197.59519213769767</v>
      </c>
      <c r="G160" s="19">
        <v>-1.1841954811033304</v>
      </c>
      <c r="H160" s="158">
        <v>-0.59573353922100847</v>
      </c>
      <c r="I160" s="194"/>
    </row>
    <row r="161" spans="1:9" ht="12.75" customHeight="1" x14ac:dyDescent="0.25">
      <c r="A161" s="198"/>
      <c r="B161" s="35" t="s">
        <v>340</v>
      </c>
      <c r="C161" s="190"/>
      <c r="D161" s="159">
        <v>92.64</v>
      </c>
      <c r="E161" s="168">
        <v>92.635970044465253</v>
      </c>
      <c r="F161" s="168">
        <v>90.960996705446306</v>
      </c>
      <c r="G161" s="19">
        <v>-1.6749733390189476</v>
      </c>
      <c r="H161" s="158">
        <v>-1.8081241425063725</v>
      </c>
      <c r="I161" s="194"/>
    </row>
    <row r="162" spans="1:9" ht="59.25" customHeight="1" x14ac:dyDescent="0.25">
      <c r="A162" s="198"/>
      <c r="B162" s="184" t="s">
        <v>343</v>
      </c>
      <c r="C162" s="190"/>
      <c r="D162" s="159">
        <v>113.21</v>
      </c>
      <c r="E162" s="159">
        <v>113.21456788235595</v>
      </c>
      <c r="F162" s="159">
        <v>110.74469995565188</v>
      </c>
      <c r="G162" s="19">
        <v>-2.4698679267040689</v>
      </c>
      <c r="H162" s="158">
        <v>-2.1815813749963429</v>
      </c>
      <c r="I162" s="194"/>
    </row>
    <row r="163" spans="1:9" ht="12.75" customHeight="1" x14ac:dyDescent="0.25">
      <c r="A163" s="198"/>
      <c r="B163" s="35" t="s">
        <v>341</v>
      </c>
      <c r="C163" s="190"/>
      <c r="D163" s="159">
        <v>371.41</v>
      </c>
      <c r="E163" s="159">
        <v>371.40897302408456</v>
      </c>
      <c r="F163" s="159">
        <v>342.26592796496743</v>
      </c>
      <c r="G163" s="19">
        <v>-29.143045059117128</v>
      </c>
      <c r="H163" s="158">
        <v>-7.8466184653075963</v>
      </c>
      <c r="I163" s="194"/>
    </row>
    <row r="164" spans="1:9" ht="12.75" customHeight="1" x14ac:dyDescent="0.25">
      <c r="A164" s="198"/>
      <c r="B164" s="35" t="s">
        <v>342</v>
      </c>
      <c r="C164" s="190"/>
      <c r="D164" s="159">
        <v>1621.3</v>
      </c>
      <c r="E164" s="159">
        <v>1621.30952935152</v>
      </c>
      <c r="F164" s="159">
        <v>1591.9578311888924</v>
      </c>
      <c r="G164" s="19">
        <v>-29.351698162627599</v>
      </c>
      <c r="H164" s="158">
        <v>-1.8103698048556764</v>
      </c>
      <c r="I164" s="194"/>
    </row>
  </sheetData>
  <mergeCells count="18">
    <mergeCell ref="A158:A159"/>
    <mergeCell ref="B158:B159"/>
    <mergeCell ref="I33:I74"/>
    <mergeCell ref="I84:I113"/>
    <mergeCell ref="D5:D6"/>
    <mergeCell ref="F5:F6"/>
    <mergeCell ref="E5:E6"/>
    <mergeCell ref="A2:I2"/>
    <mergeCell ref="A3:I3"/>
    <mergeCell ref="A4:I4"/>
    <mergeCell ref="I18:I28"/>
    <mergeCell ref="G5:G6"/>
    <mergeCell ref="H5:H6"/>
    <mergeCell ref="I9:I16"/>
    <mergeCell ref="A5:A6"/>
    <mergeCell ref="B5:B6"/>
    <mergeCell ref="C5:C6"/>
    <mergeCell ref="I5:I6"/>
  </mergeCells>
  <phoneticPr fontId="14" type="noConversion"/>
  <pageMargins left="0.51181102362204722" right="0.23622047244094491" top="0.23622047244094491" bottom="0.35433070866141736" header="0.23622047244094491" footer="0.23622047244094491"/>
  <pageSetup paperSize="9" scale="6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8"/>
  <sheetViews>
    <sheetView tabSelected="1" zoomScale="130" zoomScaleNormal="130" zoomScaleSheetLayoutView="160" workbookViewId="0">
      <selection activeCell="F135" sqref="F135"/>
    </sheetView>
  </sheetViews>
  <sheetFormatPr defaultRowHeight="15" x14ac:dyDescent="0.25"/>
  <cols>
    <col min="1" max="1" width="5.28515625" style="202" customWidth="1"/>
    <col min="2" max="2" width="42" style="202" customWidth="1"/>
    <col min="3" max="3" width="7" style="202" customWidth="1"/>
    <col min="4" max="5" width="11.85546875" style="213" customWidth="1"/>
    <col min="6" max="6" width="12" style="213" customWidth="1"/>
    <col min="7" max="7" width="11.7109375" style="213" customWidth="1"/>
    <col min="8" max="8" width="10.28515625" style="203" customWidth="1"/>
    <col min="9" max="16384" width="9.140625" style="189"/>
  </cols>
  <sheetData>
    <row r="1" spans="1:8" ht="101.25" x14ac:dyDescent="0.25">
      <c r="H1" s="214" t="s">
        <v>240</v>
      </c>
    </row>
    <row r="2" spans="1:8" ht="12.75" customHeight="1" x14ac:dyDescent="0.25">
      <c r="A2" s="258" t="str">
        <f>'Тар. сметы за 2024 г.(пит.вода)'!A2:H2</f>
        <v xml:space="preserve">Информация об исполнении утвержденной тарифной сметы </v>
      </c>
      <c r="B2" s="258"/>
      <c r="C2" s="258"/>
      <c r="D2" s="258"/>
      <c r="E2" s="258"/>
      <c r="F2" s="258"/>
      <c r="G2" s="258"/>
      <c r="H2" s="258"/>
    </row>
    <row r="3" spans="1:8" ht="12.75" customHeight="1" x14ac:dyDescent="0.25">
      <c r="A3" s="239" t="s">
        <v>559</v>
      </c>
      <c r="B3" s="239"/>
      <c r="C3" s="239"/>
      <c r="D3" s="239"/>
      <c r="E3" s="239"/>
      <c r="F3" s="239"/>
      <c r="G3" s="239"/>
      <c r="H3" s="239"/>
    </row>
    <row r="4" spans="1:8" ht="24" customHeight="1" x14ac:dyDescent="0.25">
      <c r="A4" s="240" t="s">
        <v>230</v>
      </c>
      <c r="B4" s="240"/>
      <c r="C4" s="240"/>
      <c r="D4" s="240"/>
      <c r="E4" s="240"/>
      <c r="F4" s="240"/>
      <c r="G4" s="240"/>
      <c r="H4" s="240"/>
    </row>
    <row r="5" spans="1:8" ht="14.25" customHeight="1" x14ac:dyDescent="0.25">
      <c r="A5" s="246" t="s">
        <v>17</v>
      </c>
      <c r="B5" s="246" t="s">
        <v>227</v>
      </c>
      <c r="C5" s="246" t="s">
        <v>57</v>
      </c>
      <c r="D5" s="249" t="s">
        <v>558</v>
      </c>
      <c r="E5" s="244" t="s">
        <v>565</v>
      </c>
      <c r="F5" s="260" t="s">
        <v>568</v>
      </c>
      <c r="G5" s="259" t="s">
        <v>236</v>
      </c>
      <c r="H5" s="246" t="s">
        <v>239</v>
      </c>
    </row>
    <row r="6" spans="1:8" ht="31.5" customHeight="1" x14ac:dyDescent="0.25">
      <c r="A6" s="246"/>
      <c r="B6" s="246"/>
      <c r="C6" s="246"/>
      <c r="D6" s="249"/>
      <c r="E6" s="245"/>
      <c r="F6" s="261"/>
      <c r="G6" s="259"/>
      <c r="H6" s="246"/>
    </row>
    <row r="7" spans="1:8" ht="12.75" customHeight="1" x14ac:dyDescent="0.25">
      <c r="A7" s="190" t="s">
        <v>58</v>
      </c>
      <c r="B7" s="157" t="s">
        <v>483</v>
      </c>
      <c r="C7" s="190" t="s">
        <v>59</v>
      </c>
      <c r="D7" s="181">
        <f>D8+D16+D29+D30+D31</f>
        <v>1688062.9100000004</v>
      </c>
      <c r="E7" s="181">
        <f>E8+E16+E29+E30+E31</f>
        <v>844031.45500000019</v>
      </c>
      <c r="F7" s="181">
        <f>F8+F16+F29+F30+F31</f>
        <v>801101.08131999988</v>
      </c>
      <c r="G7" s="158">
        <v>-6.1000846105907458</v>
      </c>
      <c r="H7" s="191"/>
    </row>
    <row r="8" spans="1:8" s="216" customFormat="1" ht="12.75" customHeight="1" x14ac:dyDescent="0.25">
      <c r="A8" s="183" t="s">
        <v>0</v>
      </c>
      <c r="B8" s="165" t="s">
        <v>24</v>
      </c>
      <c r="C8" s="190" t="s">
        <v>59</v>
      </c>
      <c r="D8" s="181">
        <f>D9+D10+D11+D14+D15</f>
        <v>438911.48000000004</v>
      </c>
      <c r="E8" s="181">
        <f>E9+E10+E11+E14+E15</f>
        <v>219455.74000000002</v>
      </c>
      <c r="F8" s="181">
        <f>F9+F10+F11+F14+F15</f>
        <v>183108.92412499996</v>
      </c>
      <c r="G8" s="158">
        <v>-17.46980007677174</v>
      </c>
      <c r="H8" s="215"/>
    </row>
    <row r="9" spans="1:8" ht="12.75" customHeight="1" x14ac:dyDescent="0.25">
      <c r="A9" s="174" t="s">
        <v>22</v>
      </c>
      <c r="B9" s="162" t="s">
        <v>329</v>
      </c>
      <c r="C9" s="193" t="s">
        <v>59</v>
      </c>
      <c r="D9" s="159">
        <v>65.98</v>
      </c>
      <c r="E9" s="159">
        <f>D9/12*6</f>
        <v>32.99</v>
      </c>
      <c r="F9" s="159">
        <f>17.68075/4*6</f>
        <v>26.521124999999998</v>
      </c>
      <c r="G9" s="158">
        <v>-19.608593513185827</v>
      </c>
      <c r="H9" s="194"/>
    </row>
    <row r="10" spans="1:8" ht="12.75" customHeight="1" x14ac:dyDescent="0.25">
      <c r="A10" s="174" t="s">
        <v>23</v>
      </c>
      <c r="B10" s="162" t="s">
        <v>18</v>
      </c>
      <c r="C10" s="193" t="s">
        <v>59</v>
      </c>
      <c r="D10" s="159">
        <v>67303.97</v>
      </c>
      <c r="E10" s="159">
        <f t="shared" ref="E10:E15" si="0">D10/12*6</f>
        <v>33651.985000000001</v>
      </c>
      <c r="F10" s="159">
        <f>31916/5*6</f>
        <v>38299.199999999997</v>
      </c>
      <c r="G10" s="158">
        <f>(F10-E10)/E10*100</f>
        <v>13.809631140629582</v>
      </c>
      <c r="H10" s="194"/>
    </row>
    <row r="11" spans="1:8" ht="13.5" customHeight="1" x14ac:dyDescent="0.25">
      <c r="A11" s="174" t="s">
        <v>26</v>
      </c>
      <c r="B11" s="162" t="s">
        <v>1</v>
      </c>
      <c r="C11" s="193" t="s">
        <v>59</v>
      </c>
      <c r="D11" s="159">
        <v>360882.56</v>
      </c>
      <c r="E11" s="159">
        <f t="shared" si="0"/>
        <v>180441.28</v>
      </c>
      <c r="F11" s="159">
        <f>116124/5*6</f>
        <v>139348.79999999999</v>
      </c>
      <c r="G11" s="158">
        <f>(F11-E11)/E11*100</f>
        <v>-22.77332548294936</v>
      </c>
      <c r="H11" s="194"/>
    </row>
    <row r="12" spans="1:8" ht="12.75" customHeight="1" x14ac:dyDescent="0.25">
      <c r="A12" s="174"/>
      <c r="B12" s="162" t="s">
        <v>355</v>
      </c>
      <c r="C12" s="193" t="s">
        <v>59</v>
      </c>
      <c r="D12" s="159">
        <v>29.65</v>
      </c>
      <c r="E12" s="159">
        <v>29.65</v>
      </c>
      <c r="F12" s="159">
        <f>F11/F13</f>
        <v>34.821528814146831</v>
      </c>
      <c r="G12" s="158">
        <v>14.816485462987533</v>
      </c>
      <c r="H12" s="194"/>
    </row>
    <row r="13" spans="1:8" ht="12.75" customHeight="1" x14ac:dyDescent="0.25">
      <c r="A13" s="174"/>
      <c r="B13" s="162" t="s">
        <v>354</v>
      </c>
      <c r="C13" s="193" t="s">
        <v>59</v>
      </c>
      <c r="D13" s="159">
        <v>12170.56</v>
      </c>
      <c r="E13" s="159">
        <f t="shared" si="0"/>
        <v>6085.28</v>
      </c>
      <c r="F13" s="159">
        <v>4001.8001720644502</v>
      </c>
      <c r="G13" s="158">
        <v>-34.238027304175809</v>
      </c>
      <c r="H13" s="194"/>
    </row>
    <row r="14" spans="1:8" ht="12.75" customHeight="1" x14ac:dyDescent="0.25">
      <c r="A14" s="174" t="s">
        <v>27</v>
      </c>
      <c r="B14" s="162" t="s">
        <v>2</v>
      </c>
      <c r="C14" s="193" t="s">
        <v>59</v>
      </c>
      <c r="D14" s="159">
        <v>10588.46</v>
      </c>
      <c r="E14" s="159">
        <f t="shared" si="0"/>
        <v>5294.23</v>
      </c>
      <c r="F14" s="159">
        <v>5402.1262900000002</v>
      </c>
      <c r="G14" s="158">
        <v>2.0379977824915163</v>
      </c>
      <c r="H14" s="194"/>
    </row>
    <row r="15" spans="1:8" ht="12.75" customHeight="1" x14ac:dyDescent="0.25">
      <c r="A15" s="174" t="s">
        <v>114</v>
      </c>
      <c r="B15" s="162" t="s">
        <v>82</v>
      </c>
      <c r="C15" s="193" t="s">
        <v>59</v>
      </c>
      <c r="D15" s="159">
        <v>70.510000000000005</v>
      </c>
      <c r="E15" s="159">
        <f t="shared" si="0"/>
        <v>35.255000000000003</v>
      </c>
      <c r="F15" s="159">
        <v>32.276710000000001</v>
      </c>
      <c r="G15" s="158">
        <v>-8.447851368600201</v>
      </c>
      <c r="H15" s="194"/>
    </row>
    <row r="16" spans="1:8" s="216" customFormat="1" ht="12.75" customHeight="1" x14ac:dyDescent="0.25">
      <c r="A16" s="183" t="s">
        <v>3</v>
      </c>
      <c r="B16" s="165" t="s">
        <v>19</v>
      </c>
      <c r="C16" s="190" t="s">
        <v>59</v>
      </c>
      <c r="D16" s="181">
        <f>D17+D20+D21+D23+D26+D27+D22+D28</f>
        <v>670422.97000000009</v>
      </c>
      <c r="E16" s="181">
        <f>E17+E20+E21+E23+E26+E27+E22+E28</f>
        <v>335211.48500000004</v>
      </c>
      <c r="F16" s="181">
        <f>F17+F20+F21+F23+F26+F27+F28+F22</f>
        <v>339285.51019499998</v>
      </c>
      <c r="G16" s="158">
        <v>-0.74298494277427163</v>
      </c>
      <c r="H16" s="215"/>
    </row>
    <row r="17" spans="1:8" ht="12.75" customHeight="1" x14ac:dyDescent="0.25">
      <c r="A17" s="174" t="s">
        <v>61</v>
      </c>
      <c r="B17" s="204" t="s">
        <v>489</v>
      </c>
      <c r="C17" s="193" t="s">
        <v>59</v>
      </c>
      <c r="D17" s="159">
        <v>461269.94</v>
      </c>
      <c r="E17" s="159">
        <f>D17/12*6</f>
        <v>230634.97</v>
      </c>
      <c r="F17" s="159">
        <f>250000/5*6-F23</f>
        <v>239273.405</v>
      </c>
      <c r="G17" s="158">
        <v>0.89918668665034829</v>
      </c>
      <c r="H17" s="241"/>
    </row>
    <row r="18" spans="1:8" ht="12.75" customHeight="1" x14ac:dyDescent="0.25">
      <c r="A18" s="174" t="s">
        <v>62</v>
      </c>
      <c r="B18" s="162" t="s">
        <v>100</v>
      </c>
      <c r="C18" s="193" t="s">
        <v>99</v>
      </c>
      <c r="D18" s="159">
        <f>D17/D19/12*1000</f>
        <v>223483.49806201551</v>
      </c>
      <c r="E18" s="159">
        <f>E17/E19/6*1000</f>
        <v>223483.49806201551</v>
      </c>
      <c r="F18" s="159">
        <f>F17/F19/6*1000</f>
        <v>231854.07461240311</v>
      </c>
      <c r="G18" s="158">
        <v>0.89918668665034096</v>
      </c>
      <c r="H18" s="242"/>
    </row>
    <row r="19" spans="1:8" ht="12.75" customHeight="1" x14ac:dyDescent="0.25">
      <c r="A19" s="174" t="s">
        <v>85</v>
      </c>
      <c r="B19" s="162" t="s">
        <v>102</v>
      </c>
      <c r="C19" s="193" t="s">
        <v>101</v>
      </c>
      <c r="D19" s="159">
        <v>172</v>
      </c>
      <c r="E19" s="159">
        <v>172</v>
      </c>
      <c r="F19" s="159">
        <v>172</v>
      </c>
      <c r="G19" s="158">
        <v>0</v>
      </c>
      <c r="H19" s="242"/>
    </row>
    <row r="20" spans="1:8" ht="12.75" customHeight="1" x14ac:dyDescent="0.25">
      <c r="A20" s="174" t="s">
        <v>86</v>
      </c>
      <c r="B20" s="162" t="s">
        <v>21</v>
      </c>
      <c r="C20" s="193" t="s">
        <v>59</v>
      </c>
      <c r="D20" s="159">
        <v>39438.58</v>
      </c>
      <c r="E20" s="159">
        <f t="shared" ref="E20:E61" si="1">D20/12*6</f>
        <v>19719.29</v>
      </c>
      <c r="F20" s="159">
        <f>18701.65815/4*6-F26</f>
        <v>22860.362224999997</v>
      </c>
      <c r="G20" s="158">
        <v>15.92893164510485</v>
      </c>
      <c r="H20" s="242"/>
    </row>
    <row r="21" spans="1:8" ht="12.75" customHeight="1" x14ac:dyDescent="0.25">
      <c r="A21" s="174" t="s">
        <v>115</v>
      </c>
      <c r="B21" s="162" t="s">
        <v>119</v>
      </c>
      <c r="C21" s="193" t="s">
        <v>59</v>
      </c>
      <c r="D21" s="159">
        <v>23063.5</v>
      </c>
      <c r="E21" s="159">
        <f t="shared" si="1"/>
        <v>11531.75</v>
      </c>
      <c r="F21" s="159">
        <f>5864.22356/4*6-F27</f>
        <v>5760.0053400000015</v>
      </c>
      <c r="G21" s="158">
        <v>-50.050899993496202</v>
      </c>
      <c r="H21" s="242"/>
    </row>
    <row r="22" spans="1:8" ht="12.75" customHeight="1" x14ac:dyDescent="0.25">
      <c r="A22" s="174"/>
      <c r="B22" s="205" t="s">
        <v>560</v>
      </c>
      <c r="C22" s="193"/>
      <c r="D22" s="159">
        <v>6919.05</v>
      </c>
      <c r="E22" s="159">
        <f t="shared" si="1"/>
        <v>3459.5249999999996</v>
      </c>
      <c r="F22" s="159">
        <f>1624.45842/4*6-F28</f>
        <v>1525.7876299999998</v>
      </c>
      <c r="G22" s="158">
        <v>0</v>
      </c>
      <c r="H22" s="242"/>
    </row>
    <row r="23" spans="1:8" ht="12.75" customHeight="1" x14ac:dyDescent="0.25">
      <c r="A23" s="174" t="s">
        <v>136</v>
      </c>
      <c r="B23" s="204" t="s">
        <v>103</v>
      </c>
      <c r="C23" s="193" t="s">
        <v>59</v>
      </c>
      <c r="D23" s="159">
        <v>121453.19</v>
      </c>
      <c r="E23" s="159">
        <f t="shared" si="1"/>
        <v>60726.595000000001</v>
      </c>
      <c r="F23" s="159">
        <f>E23</f>
        <v>60726.595000000001</v>
      </c>
      <c r="G23" s="158">
        <v>0</v>
      </c>
      <c r="H23" s="242"/>
    </row>
    <row r="24" spans="1:8" ht="12.75" customHeight="1" x14ac:dyDescent="0.25">
      <c r="A24" s="174" t="s">
        <v>356</v>
      </c>
      <c r="B24" s="162" t="s">
        <v>100</v>
      </c>
      <c r="C24" s="193" t="s">
        <v>99</v>
      </c>
      <c r="D24" s="159">
        <f>D23/D25/12*1000</f>
        <v>220023.89492753625</v>
      </c>
      <c r="E24" s="159">
        <f>E23/E25/6*1000</f>
        <v>220023.89492753625</v>
      </c>
      <c r="F24" s="159">
        <f>F23/F25/6*1000</f>
        <v>220023.89492753625</v>
      </c>
      <c r="G24" s="158">
        <v>0</v>
      </c>
      <c r="H24" s="242"/>
    </row>
    <row r="25" spans="1:8" ht="12.75" customHeight="1" x14ac:dyDescent="0.25">
      <c r="A25" s="174" t="s">
        <v>357</v>
      </c>
      <c r="B25" s="162" t="s">
        <v>113</v>
      </c>
      <c r="C25" s="193" t="s">
        <v>101</v>
      </c>
      <c r="D25" s="159">
        <v>46</v>
      </c>
      <c r="E25" s="159">
        <v>46</v>
      </c>
      <c r="F25" s="159">
        <v>46</v>
      </c>
      <c r="G25" s="158">
        <v>0</v>
      </c>
      <c r="H25" s="242"/>
    </row>
    <row r="26" spans="1:8" ht="12.75" customHeight="1" x14ac:dyDescent="0.25">
      <c r="A26" s="174" t="s">
        <v>358</v>
      </c>
      <c r="B26" s="162" t="s">
        <v>21</v>
      </c>
      <c r="C26" s="193" t="s">
        <v>59</v>
      </c>
      <c r="D26" s="159">
        <v>10384.25</v>
      </c>
      <c r="E26" s="159">
        <f t="shared" si="1"/>
        <v>5192.125</v>
      </c>
      <c r="F26" s="159">
        <f>E26</f>
        <v>5192.125</v>
      </c>
      <c r="G26" s="158">
        <v>0</v>
      </c>
      <c r="H26" s="242"/>
    </row>
    <row r="27" spans="1:8" ht="12.75" customHeight="1" x14ac:dyDescent="0.25">
      <c r="A27" s="174" t="s">
        <v>359</v>
      </c>
      <c r="B27" s="162" t="s">
        <v>119</v>
      </c>
      <c r="C27" s="193" t="s">
        <v>59</v>
      </c>
      <c r="D27" s="159">
        <v>6072.66</v>
      </c>
      <c r="E27" s="159">
        <f t="shared" si="1"/>
        <v>3036.33</v>
      </c>
      <c r="F27" s="159">
        <f t="shared" ref="F27:F28" si="2">E27</f>
        <v>3036.33</v>
      </c>
      <c r="G27" s="158">
        <v>0</v>
      </c>
      <c r="H27" s="243"/>
    </row>
    <row r="28" spans="1:8" ht="12.75" customHeight="1" x14ac:dyDescent="0.25">
      <c r="A28" s="174"/>
      <c r="B28" s="205" t="s">
        <v>560</v>
      </c>
      <c r="C28" s="193"/>
      <c r="D28" s="159">
        <v>1821.8</v>
      </c>
      <c r="E28" s="159">
        <f t="shared" si="1"/>
        <v>910.9</v>
      </c>
      <c r="F28" s="159">
        <f t="shared" si="2"/>
        <v>910.9</v>
      </c>
      <c r="G28" s="158">
        <v>0</v>
      </c>
      <c r="H28" s="195"/>
    </row>
    <row r="29" spans="1:8" s="216" customFormat="1" ht="12.75" customHeight="1" x14ac:dyDescent="0.25">
      <c r="A29" s="183" t="s">
        <v>5</v>
      </c>
      <c r="B29" s="165" t="s">
        <v>63</v>
      </c>
      <c r="C29" s="190" t="s">
        <v>59</v>
      </c>
      <c r="D29" s="19">
        <v>369370.85</v>
      </c>
      <c r="E29" s="159">
        <f t="shared" si="1"/>
        <v>184685.42499999999</v>
      </c>
      <c r="F29" s="19">
        <f>125365.76626/4*6</f>
        <v>188048.64939000001</v>
      </c>
      <c r="G29" s="158">
        <v>1.8210556626220058</v>
      </c>
      <c r="H29" s="215"/>
    </row>
    <row r="30" spans="1:8" s="216" customFormat="1" ht="12.75" customHeight="1" x14ac:dyDescent="0.25">
      <c r="A30" s="183" t="s">
        <v>7</v>
      </c>
      <c r="B30" s="165" t="s">
        <v>4</v>
      </c>
      <c r="C30" s="190" t="s">
        <v>59</v>
      </c>
      <c r="D30" s="19">
        <v>86564.77</v>
      </c>
      <c r="E30" s="159">
        <f t="shared" si="1"/>
        <v>43282.385000000002</v>
      </c>
      <c r="F30" s="19">
        <f>18309.82964/4*6</f>
        <v>27464.744460000002</v>
      </c>
      <c r="G30" s="158">
        <v>-36.545214733430235</v>
      </c>
      <c r="H30" s="215"/>
    </row>
    <row r="31" spans="1:8" s="216" customFormat="1" ht="12.75" customHeight="1" x14ac:dyDescent="0.25">
      <c r="A31" s="183" t="s">
        <v>9</v>
      </c>
      <c r="B31" s="165" t="s">
        <v>64</v>
      </c>
      <c r="C31" s="190" t="s">
        <v>59</v>
      </c>
      <c r="D31" s="181">
        <f>D32+D33+D34+D35+D36+D37</f>
        <v>122792.84000000001</v>
      </c>
      <c r="E31" s="181">
        <f>E32+E33+E34+E35+E36+E37</f>
        <v>61396.420000000006</v>
      </c>
      <c r="F31" s="181">
        <f>F32+F33+F34+F35+F36+F37</f>
        <v>63193.253150000004</v>
      </c>
      <c r="G31" s="158">
        <v>2.9266089944657985</v>
      </c>
      <c r="H31" s="215"/>
    </row>
    <row r="32" spans="1:8" ht="12.75" customHeight="1" x14ac:dyDescent="0.25">
      <c r="A32" s="174" t="s">
        <v>32</v>
      </c>
      <c r="B32" s="162" t="s">
        <v>65</v>
      </c>
      <c r="C32" s="193" t="s">
        <v>59</v>
      </c>
      <c r="D32" s="159">
        <v>614.89</v>
      </c>
      <c r="E32" s="159">
        <f t="shared" si="1"/>
        <v>307.44499999999999</v>
      </c>
      <c r="F32" s="159">
        <f>141.61213/4*6</f>
        <v>212.41819500000003</v>
      </c>
      <c r="G32" s="158">
        <v>-30.90855437557936</v>
      </c>
      <c r="H32" s="241"/>
    </row>
    <row r="33" spans="1:8" ht="12.75" customHeight="1" x14ac:dyDescent="0.25">
      <c r="A33" s="174" t="s">
        <v>33</v>
      </c>
      <c r="B33" s="162" t="s">
        <v>328</v>
      </c>
      <c r="C33" s="193" t="s">
        <v>59</v>
      </c>
      <c r="D33" s="159">
        <v>37</v>
      </c>
      <c r="E33" s="159">
        <f t="shared" si="1"/>
        <v>18.5</v>
      </c>
      <c r="F33" s="159">
        <f>20.008/4*6</f>
        <v>30.012</v>
      </c>
      <c r="G33" s="158">
        <v>62.227027027027027</v>
      </c>
      <c r="H33" s="242"/>
    </row>
    <row r="34" spans="1:8" ht="12.75" customHeight="1" x14ac:dyDescent="0.25">
      <c r="A34" s="174" t="s">
        <v>34</v>
      </c>
      <c r="B34" s="162" t="s">
        <v>66</v>
      </c>
      <c r="C34" s="193" t="s">
        <v>59</v>
      </c>
      <c r="D34" s="159">
        <v>7689.96</v>
      </c>
      <c r="E34" s="159">
        <f t="shared" si="1"/>
        <v>3844.9800000000005</v>
      </c>
      <c r="F34" s="159">
        <f>2878.25593/4*6</f>
        <v>4317.3838949999999</v>
      </c>
      <c r="G34" s="158">
        <v>12.286251033815505</v>
      </c>
      <c r="H34" s="242"/>
    </row>
    <row r="35" spans="1:8" ht="12.75" customHeight="1" x14ac:dyDescent="0.25">
      <c r="A35" s="174" t="s">
        <v>36</v>
      </c>
      <c r="B35" s="162" t="s">
        <v>29</v>
      </c>
      <c r="C35" s="193" t="s">
        <v>59</v>
      </c>
      <c r="D35" s="159">
        <v>24030.65</v>
      </c>
      <c r="E35" s="159">
        <f t="shared" si="1"/>
        <v>12015.325000000001</v>
      </c>
      <c r="F35" s="159">
        <f>7668.30727/4*6</f>
        <v>11502.460905</v>
      </c>
      <c r="G35" s="158">
        <v>-4.2684163349722191</v>
      </c>
      <c r="H35" s="242"/>
    </row>
    <row r="36" spans="1:8" ht="12.75" customHeight="1" x14ac:dyDescent="0.25">
      <c r="A36" s="174" t="s">
        <v>37</v>
      </c>
      <c r="B36" s="162" t="s">
        <v>30</v>
      </c>
      <c r="C36" s="193" t="s">
        <v>59</v>
      </c>
      <c r="D36" s="159">
        <v>60642.19</v>
      </c>
      <c r="E36" s="159">
        <f t="shared" si="1"/>
        <v>30321.095000000001</v>
      </c>
      <c r="F36" s="159">
        <f>10471.78092/4*6</f>
        <v>15707.67138</v>
      </c>
      <c r="G36" s="158">
        <v>-48.195566881736958</v>
      </c>
      <c r="H36" s="242"/>
    </row>
    <row r="37" spans="1:8" ht="12.75" customHeight="1" x14ac:dyDescent="0.25">
      <c r="A37" s="183" t="s">
        <v>38</v>
      </c>
      <c r="B37" s="165" t="s">
        <v>145</v>
      </c>
      <c r="C37" s="190" t="s">
        <v>59</v>
      </c>
      <c r="D37" s="181">
        <f>SUM(D38:D61)</f>
        <v>29778.150000000005</v>
      </c>
      <c r="E37" s="181">
        <f>SUM(E38:E61)</f>
        <v>14889.075000000003</v>
      </c>
      <c r="F37" s="181">
        <f>SUM(F38:F61)</f>
        <v>31423.306775000001</v>
      </c>
      <c r="G37" s="158">
        <v>111.04942231132557</v>
      </c>
      <c r="H37" s="242"/>
    </row>
    <row r="38" spans="1:8" ht="12.75" customHeight="1" x14ac:dyDescent="0.25">
      <c r="A38" s="174" t="s">
        <v>192</v>
      </c>
      <c r="B38" s="162" t="s">
        <v>88</v>
      </c>
      <c r="C38" s="193" t="s">
        <v>59</v>
      </c>
      <c r="D38" s="159">
        <v>250.61</v>
      </c>
      <c r="E38" s="159">
        <f t="shared" si="1"/>
        <v>125.30500000000001</v>
      </c>
      <c r="F38" s="159">
        <v>0.99979999999999991</v>
      </c>
      <c r="G38" s="158">
        <v>-99.202106859263409</v>
      </c>
      <c r="H38" s="242"/>
    </row>
    <row r="39" spans="1:8" ht="12.75" customHeight="1" x14ac:dyDescent="0.25">
      <c r="A39" s="174" t="s">
        <v>193</v>
      </c>
      <c r="B39" s="162" t="s">
        <v>8</v>
      </c>
      <c r="C39" s="193" t="s">
        <v>59</v>
      </c>
      <c r="D39" s="159">
        <v>597.15</v>
      </c>
      <c r="E39" s="159">
        <f t="shared" si="1"/>
        <v>298.57499999999999</v>
      </c>
      <c r="F39" s="159">
        <f>734.65569/4*6</f>
        <v>1101.9835350000001</v>
      </c>
      <c r="G39" s="158">
        <v>269.08097965335344</v>
      </c>
      <c r="H39" s="242"/>
    </row>
    <row r="40" spans="1:8" ht="12.75" customHeight="1" x14ac:dyDescent="0.25">
      <c r="A40" s="174" t="s">
        <v>194</v>
      </c>
      <c r="B40" s="162" t="s">
        <v>11</v>
      </c>
      <c r="C40" s="193" t="s">
        <v>59</v>
      </c>
      <c r="D40" s="159">
        <v>265.86</v>
      </c>
      <c r="E40" s="159">
        <f t="shared" si="1"/>
        <v>132.93</v>
      </c>
      <c r="F40" s="159">
        <f>143.596/4*6</f>
        <v>215.39400000000001</v>
      </c>
      <c r="G40" s="158">
        <v>62.035657865041749</v>
      </c>
      <c r="H40" s="242"/>
    </row>
    <row r="41" spans="1:8" ht="12.75" customHeight="1" x14ac:dyDescent="0.25">
      <c r="A41" s="174" t="s">
        <v>195</v>
      </c>
      <c r="B41" s="162" t="s">
        <v>106</v>
      </c>
      <c r="C41" s="193" t="s">
        <v>59</v>
      </c>
      <c r="D41" s="159">
        <v>1129.8399999999999</v>
      </c>
      <c r="E41" s="159">
        <f t="shared" si="1"/>
        <v>564.91999999999996</v>
      </c>
      <c r="F41" s="159">
        <f>450.81701/4*6</f>
        <v>676.22551499999997</v>
      </c>
      <c r="G41" s="158">
        <v>19.702880938894008</v>
      </c>
      <c r="H41" s="242"/>
    </row>
    <row r="42" spans="1:8" ht="12.75" customHeight="1" x14ac:dyDescent="0.25">
      <c r="A42" s="174" t="s">
        <v>196</v>
      </c>
      <c r="B42" s="162" t="s">
        <v>108</v>
      </c>
      <c r="C42" s="193" t="s">
        <v>59</v>
      </c>
      <c r="D42" s="159">
        <v>11088.46</v>
      </c>
      <c r="E42" s="159">
        <f t="shared" si="1"/>
        <v>5544.23</v>
      </c>
      <c r="F42" s="159">
        <v>4202.5826399999996</v>
      </c>
      <c r="G42" s="158">
        <v>-24.198984529862582</v>
      </c>
      <c r="H42" s="242"/>
    </row>
    <row r="43" spans="1:8" ht="12.75" customHeight="1" x14ac:dyDescent="0.25">
      <c r="A43" s="174" t="s">
        <v>197</v>
      </c>
      <c r="B43" s="162" t="s">
        <v>141</v>
      </c>
      <c r="C43" s="193" t="s">
        <v>59</v>
      </c>
      <c r="D43" s="159">
        <v>1885.77</v>
      </c>
      <c r="E43" s="159">
        <f t="shared" si="1"/>
        <v>942.88499999999999</v>
      </c>
      <c r="F43" s="159">
        <f>261.49553/4*6</f>
        <v>392.24329499999999</v>
      </c>
      <c r="G43" s="158">
        <v>-58.399667509823573</v>
      </c>
      <c r="H43" s="242"/>
    </row>
    <row r="44" spans="1:8" ht="24" customHeight="1" x14ac:dyDescent="0.25">
      <c r="A44" s="174" t="s">
        <v>198</v>
      </c>
      <c r="B44" s="180" t="s">
        <v>140</v>
      </c>
      <c r="C44" s="193" t="s">
        <v>59</v>
      </c>
      <c r="D44" s="159">
        <v>162.02000000000001</v>
      </c>
      <c r="E44" s="159">
        <f t="shared" si="1"/>
        <v>81.010000000000005</v>
      </c>
      <c r="F44" s="159">
        <v>1.2150000000000001</v>
      </c>
      <c r="G44" s="158">
        <v>-98.500185162325636</v>
      </c>
      <c r="H44" s="242"/>
    </row>
    <row r="45" spans="1:8" ht="12.75" customHeight="1" x14ac:dyDescent="0.25">
      <c r="A45" s="174" t="s">
        <v>199</v>
      </c>
      <c r="B45" s="177" t="s">
        <v>143</v>
      </c>
      <c r="C45" s="193" t="s">
        <v>59</v>
      </c>
      <c r="D45" s="159">
        <v>61</v>
      </c>
      <c r="E45" s="159">
        <f t="shared" si="1"/>
        <v>30.5</v>
      </c>
      <c r="F45" s="159">
        <f>38.61938/4*6</f>
        <v>57.929069999999996</v>
      </c>
      <c r="G45" s="158">
        <v>89.931377049180313</v>
      </c>
      <c r="H45" s="242"/>
    </row>
    <row r="46" spans="1:8" ht="12.75" customHeight="1" x14ac:dyDescent="0.25">
      <c r="A46" s="174" t="s">
        <v>397</v>
      </c>
      <c r="B46" s="177" t="s">
        <v>146</v>
      </c>
      <c r="C46" s="193" t="s">
        <v>59</v>
      </c>
      <c r="D46" s="159">
        <v>288.66000000000003</v>
      </c>
      <c r="E46" s="159">
        <f t="shared" si="1"/>
        <v>144.33000000000001</v>
      </c>
      <c r="F46" s="159">
        <v>0</v>
      </c>
      <c r="G46" s="158">
        <v>-100</v>
      </c>
      <c r="H46" s="242"/>
    </row>
    <row r="47" spans="1:8" ht="12.75" customHeight="1" x14ac:dyDescent="0.25">
      <c r="A47" s="174" t="s">
        <v>200</v>
      </c>
      <c r="B47" s="175" t="s">
        <v>144</v>
      </c>
      <c r="C47" s="193" t="s">
        <v>59</v>
      </c>
      <c r="D47" s="159">
        <v>97.02</v>
      </c>
      <c r="E47" s="159">
        <f t="shared" si="1"/>
        <v>48.509999999999991</v>
      </c>
      <c r="F47" s="173">
        <v>0</v>
      </c>
      <c r="G47" s="158">
        <v>-100</v>
      </c>
      <c r="H47" s="242"/>
    </row>
    <row r="48" spans="1:8" ht="12.75" customHeight="1" x14ac:dyDescent="0.25">
      <c r="A48" s="174" t="s">
        <v>201</v>
      </c>
      <c r="B48" s="175" t="s">
        <v>228</v>
      </c>
      <c r="C48" s="193" t="s">
        <v>59</v>
      </c>
      <c r="D48" s="159">
        <v>29.2</v>
      </c>
      <c r="E48" s="159">
        <f t="shared" si="1"/>
        <v>14.599999999999998</v>
      </c>
      <c r="F48" s="159">
        <f>10.01786/4*6</f>
        <v>15.026790000000002</v>
      </c>
      <c r="G48" s="158">
        <v>2.9232191780822196</v>
      </c>
      <c r="H48" s="242"/>
    </row>
    <row r="49" spans="1:8" ht="12.75" customHeight="1" x14ac:dyDescent="0.25">
      <c r="A49" s="174" t="s">
        <v>202</v>
      </c>
      <c r="B49" s="175" t="s">
        <v>159</v>
      </c>
      <c r="C49" s="193" t="s">
        <v>59</v>
      </c>
      <c r="D49" s="159">
        <v>1426.31</v>
      </c>
      <c r="E49" s="159">
        <f t="shared" si="1"/>
        <v>713.15499999999997</v>
      </c>
      <c r="F49" s="159">
        <f>204.7107/4*6</f>
        <v>307.06605000000002</v>
      </c>
      <c r="G49" s="158">
        <v>-56.942593124916741</v>
      </c>
      <c r="H49" s="242"/>
    </row>
    <row r="50" spans="1:8" ht="12.75" customHeight="1" x14ac:dyDescent="0.25">
      <c r="A50" s="174" t="s">
        <v>203</v>
      </c>
      <c r="B50" s="175" t="s">
        <v>147</v>
      </c>
      <c r="C50" s="193" t="s">
        <v>59</v>
      </c>
      <c r="D50" s="159">
        <v>11.68</v>
      </c>
      <c r="E50" s="159">
        <f t="shared" si="1"/>
        <v>5.84</v>
      </c>
      <c r="F50" s="159"/>
      <c r="G50" s="158">
        <v>-100</v>
      </c>
      <c r="H50" s="242"/>
    </row>
    <row r="51" spans="1:8" ht="12.75" customHeight="1" x14ac:dyDescent="0.25">
      <c r="A51" s="174" t="s">
        <v>204</v>
      </c>
      <c r="B51" s="180" t="s">
        <v>234</v>
      </c>
      <c r="C51" s="193" t="s">
        <v>59</v>
      </c>
      <c r="D51" s="159">
        <v>536.58000000000004</v>
      </c>
      <c r="E51" s="159">
        <f t="shared" si="1"/>
        <v>268.29000000000002</v>
      </c>
      <c r="F51" s="159"/>
      <c r="G51" s="158">
        <v>-100</v>
      </c>
      <c r="H51" s="242"/>
    </row>
    <row r="52" spans="1:8" ht="12.75" customHeight="1" x14ac:dyDescent="0.25">
      <c r="A52" s="174" t="s">
        <v>205</v>
      </c>
      <c r="B52" s="180" t="s">
        <v>151</v>
      </c>
      <c r="C52" s="193" t="s">
        <v>59</v>
      </c>
      <c r="D52" s="159">
        <v>37.86</v>
      </c>
      <c r="E52" s="159">
        <f t="shared" si="1"/>
        <v>18.93</v>
      </c>
      <c r="F52" s="159">
        <v>0</v>
      </c>
      <c r="G52" s="158">
        <v>-100</v>
      </c>
      <c r="H52" s="242"/>
    </row>
    <row r="53" spans="1:8" ht="12.75" customHeight="1" x14ac:dyDescent="0.25">
      <c r="A53" s="174" t="s">
        <v>206</v>
      </c>
      <c r="B53" s="175" t="s">
        <v>90</v>
      </c>
      <c r="C53" s="193" t="s">
        <v>59</v>
      </c>
      <c r="D53" s="159">
        <v>159.75</v>
      </c>
      <c r="E53" s="159">
        <f t="shared" si="1"/>
        <v>79.875</v>
      </c>
      <c r="F53" s="159">
        <f>153.9762/4*6</f>
        <v>230.96430000000001</v>
      </c>
      <c r="G53" s="158">
        <v>189.15718309859156</v>
      </c>
      <c r="H53" s="242"/>
    </row>
    <row r="54" spans="1:8" ht="12.75" customHeight="1" x14ac:dyDescent="0.25">
      <c r="A54" s="174" t="s">
        <v>207</v>
      </c>
      <c r="B54" s="175" t="s">
        <v>126</v>
      </c>
      <c r="C54" s="193" t="s">
        <v>59</v>
      </c>
      <c r="D54" s="159">
        <v>194.69</v>
      </c>
      <c r="E54" s="159">
        <f t="shared" si="1"/>
        <v>97.344999999999999</v>
      </c>
      <c r="F54" s="159">
        <f>106.182/4*6</f>
        <v>159.273</v>
      </c>
      <c r="G54" s="158">
        <v>63.617032205043913</v>
      </c>
      <c r="H54" s="242"/>
    </row>
    <row r="55" spans="1:8" ht="12.75" customHeight="1" x14ac:dyDescent="0.25">
      <c r="A55" s="174" t="s">
        <v>208</v>
      </c>
      <c r="B55" s="175" t="s">
        <v>161</v>
      </c>
      <c r="C55" s="193" t="s">
        <v>59</v>
      </c>
      <c r="D55" s="159">
        <v>1035.52</v>
      </c>
      <c r="E55" s="159">
        <f t="shared" si="1"/>
        <v>517.76</v>
      </c>
      <c r="F55" s="159">
        <f>150/4*6</f>
        <v>225</v>
      </c>
      <c r="G55" s="158">
        <v>-56.543572311495673</v>
      </c>
      <c r="H55" s="242"/>
    </row>
    <row r="56" spans="1:8" ht="12.75" customHeight="1" x14ac:dyDescent="0.25">
      <c r="A56" s="174" t="s">
        <v>209</v>
      </c>
      <c r="B56" s="175" t="s">
        <v>162</v>
      </c>
      <c r="C56" s="193" t="s">
        <v>59</v>
      </c>
      <c r="D56" s="159">
        <v>271.81</v>
      </c>
      <c r="E56" s="159">
        <f t="shared" si="1"/>
        <v>135.905</v>
      </c>
      <c r="F56" s="159">
        <f>393.06128/4*6</f>
        <v>589.59192000000007</v>
      </c>
      <c r="G56" s="158">
        <v>333.82651116588801</v>
      </c>
      <c r="H56" s="242"/>
    </row>
    <row r="57" spans="1:8" ht="12.75" customHeight="1" x14ac:dyDescent="0.25">
      <c r="A57" s="174" t="s">
        <v>210</v>
      </c>
      <c r="B57" s="175" t="s">
        <v>163</v>
      </c>
      <c r="C57" s="193" t="s">
        <v>59</v>
      </c>
      <c r="D57" s="159">
        <v>337.35</v>
      </c>
      <c r="E57" s="159">
        <f t="shared" si="1"/>
        <v>168.67500000000001</v>
      </c>
      <c r="F57" s="159">
        <f>768.543/4*6</f>
        <v>1152.8145</v>
      </c>
      <c r="G57" s="158">
        <v>583.45309026233872</v>
      </c>
      <c r="H57" s="242"/>
    </row>
    <row r="58" spans="1:8" ht="12.75" customHeight="1" x14ac:dyDescent="0.25">
      <c r="A58" s="174" t="s">
        <v>211</v>
      </c>
      <c r="B58" s="175" t="s">
        <v>125</v>
      </c>
      <c r="C58" s="193" t="s">
        <v>59</v>
      </c>
      <c r="D58" s="159">
        <v>39.47</v>
      </c>
      <c r="E58" s="159">
        <f t="shared" si="1"/>
        <v>19.734999999999999</v>
      </c>
      <c r="F58" s="159">
        <v>0</v>
      </c>
      <c r="G58" s="158">
        <v>-100</v>
      </c>
      <c r="H58" s="242"/>
    </row>
    <row r="59" spans="1:8" ht="12.75" customHeight="1" x14ac:dyDescent="0.25">
      <c r="A59" s="174" t="s">
        <v>212</v>
      </c>
      <c r="B59" s="180" t="s">
        <v>332</v>
      </c>
      <c r="C59" s="193" t="s">
        <v>59</v>
      </c>
      <c r="D59" s="159">
        <v>1900.15</v>
      </c>
      <c r="E59" s="159">
        <f t="shared" si="1"/>
        <v>950.07500000000005</v>
      </c>
      <c r="F59" s="159">
        <v>0</v>
      </c>
      <c r="G59" s="158">
        <v>-100</v>
      </c>
      <c r="H59" s="242"/>
    </row>
    <row r="60" spans="1:8" ht="21.75" customHeight="1" x14ac:dyDescent="0.25">
      <c r="A60" s="174" t="s">
        <v>213</v>
      </c>
      <c r="B60" s="180" t="s">
        <v>360</v>
      </c>
      <c r="C60" s="193" t="s">
        <v>59</v>
      </c>
      <c r="D60" s="159">
        <v>2487.6799999999998</v>
      </c>
      <c r="E60" s="159">
        <f t="shared" si="1"/>
        <v>1243.8399999999999</v>
      </c>
      <c r="F60" s="159">
        <v>0</v>
      </c>
      <c r="G60" s="158">
        <v>-100</v>
      </c>
      <c r="H60" s="242"/>
    </row>
    <row r="61" spans="1:8" ht="12.75" customHeight="1" x14ac:dyDescent="0.25">
      <c r="A61" s="174" t="s">
        <v>214</v>
      </c>
      <c r="B61" s="180" t="s">
        <v>333</v>
      </c>
      <c r="C61" s="193" t="s">
        <v>59</v>
      </c>
      <c r="D61" s="159">
        <v>5483.71</v>
      </c>
      <c r="E61" s="159">
        <f t="shared" si="1"/>
        <v>2741.855</v>
      </c>
      <c r="F61" s="159">
        <f>14729.99824/4*6</f>
        <v>22094.997360000001</v>
      </c>
      <c r="G61" s="158">
        <v>705.84120458594646</v>
      </c>
      <c r="H61" s="243"/>
    </row>
    <row r="62" spans="1:8" s="216" customFormat="1" ht="12.75" customHeight="1" x14ac:dyDescent="0.25">
      <c r="A62" s="183" t="s">
        <v>67</v>
      </c>
      <c r="B62" s="157" t="s">
        <v>55</v>
      </c>
      <c r="C62" s="190" t="s">
        <v>59</v>
      </c>
      <c r="D62" s="181">
        <f>D63+D106+D127</f>
        <v>458358.98</v>
      </c>
      <c r="E62" s="181">
        <f>E63+E106+E127</f>
        <v>225165.36166666663</v>
      </c>
      <c r="F62" s="181">
        <f>F63+F106+F127</f>
        <v>208029.27538000001</v>
      </c>
      <c r="G62" s="158">
        <v>-7.610445123453216</v>
      </c>
      <c r="H62" s="215"/>
    </row>
    <row r="63" spans="1:8" s="216" customFormat="1" ht="12.75" customHeight="1" x14ac:dyDescent="0.25">
      <c r="A63" s="183" t="s">
        <v>10</v>
      </c>
      <c r="B63" s="165" t="s">
        <v>433</v>
      </c>
      <c r="C63" s="190" t="s">
        <v>59</v>
      </c>
      <c r="D63" s="181">
        <f>D64+D67+D70+D75+D76+D77+D68</f>
        <v>233685.12</v>
      </c>
      <c r="E63" s="181">
        <f>E64+E67+E70+E75+E76+E77+E68</f>
        <v>116842.56</v>
      </c>
      <c r="F63" s="181">
        <f>F64+F67+F70+F75+F76+F77+F68+F69</f>
        <v>123790.11117999999</v>
      </c>
      <c r="G63" s="158">
        <v>5.9460792197637531</v>
      </c>
      <c r="H63" s="215"/>
    </row>
    <row r="64" spans="1:8" ht="12.75" customHeight="1" x14ac:dyDescent="0.25">
      <c r="A64" s="174" t="s">
        <v>41</v>
      </c>
      <c r="B64" s="35" t="s">
        <v>40</v>
      </c>
      <c r="C64" s="193" t="s">
        <v>59</v>
      </c>
      <c r="D64" s="159">
        <v>57134.68</v>
      </c>
      <c r="E64" s="159">
        <f t="shared" ref="E64:E126" si="3">D64/12*6</f>
        <v>28567.34</v>
      </c>
      <c r="F64" s="159">
        <f>24480.6238/4*6</f>
        <v>36720.935700000002</v>
      </c>
      <c r="G64" s="158">
        <v>28.541669262871523</v>
      </c>
      <c r="H64" s="194"/>
    </row>
    <row r="65" spans="1:8" ht="12.75" customHeight="1" x14ac:dyDescent="0.25">
      <c r="A65" s="174"/>
      <c r="B65" s="35" t="s">
        <v>100</v>
      </c>
      <c r="C65" s="193" t="s">
        <v>99</v>
      </c>
      <c r="D65" s="159">
        <f>D64/D66/12*1000</f>
        <v>226724.92063492065</v>
      </c>
      <c r="E65" s="159">
        <f>E64/E66/6*1000</f>
        <v>226724.92063492065</v>
      </c>
      <c r="F65" s="159">
        <f>F64/F66/6*1000</f>
        <v>291435.99761904764</v>
      </c>
      <c r="G65" s="158">
        <v>28.541669262871523</v>
      </c>
      <c r="H65" s="194"/>
    </row>
    <row r="66" spans="1:8" ht="12.75" customHeight="1" x14ac:dyDescent="0.25">
      <c r="A66" s="174"/>
      <c r="B66" s="35" t="s">
        <v>109</v>
      </c>
      <c r="C66" s="193" t="s">
        <v>101</v>
      </c>
      <c r="D66" s="159">
        <v>21</v>
      </c>
      <c r="E66" s="159">
        <v>21</v>
      </c>
      <c r="F66" s="159">
        <v>21</v>
      </c>
      <c r="G66" s="158">
        <v>0</v>
      </c>
      <c r="H66" s="194"/>
    </row>
    <row r="67" spans="1:8" ht="12.75" customHeight="1" x14ac:dyDescent="0.25">
      <c r="A67" s="174" t="s">
        <v>42</v>
      </c>
      <c r="B67" s="35" t="s">
        <v>21</v>
      </c>
      <c r="C67" s="193" t="s">
        <v>59</v>
      </c>
      <c r="D67" s="159">
        <v>4885.01</v>
      </c>
      <c r="E67" s="159">
        <f t="shared" si="3"/>
        <v>2442.5050000000001</v>
      </c>
      <c r="F67" s="159">
        <f>2370.08606/4*6</f>
        <v>3555.1290900000004</v>
      </c>
      <c r="G67" s="158">
        <v>45.552581878030963</v>
      </c>
      <c r="H67" s="194"/>
    </row>
    <row r="68" spans="1:8" ht="12.75" customHeight="1" x14ac:dyDescent="0.25">
      <c r="A68" s="174"/>
      <c r="B68" s="176" t="s">
        <v>560</v>
      </c>
      <c r="C68" s="193"/>
      <c r="D68" s="159">
        <v>857.02</v>
      </c>
      <c r="E68" s="159">
        <f t="shared" si="3"/>
        <v>428.51</v>
      </c>
      <c r="F68" s="159">
        <f>266.88464/4*6</f>
        <v>400.32695999999999</v>
      </c>
      <c r="G68" s="158">
        <v>0</v>
      </c>
      <c r="H68" s="194"/>
    </row>
    <row r="69" spans="1:8" ht="12.75" customHeight="1" x14ac:dyDescent="0.25">
      <c r="A69" s="174"/>
      <c r="B69" s="162" t="s">
        <v>119</v>
      </c>
      <c r="C69" s="193"/>
      <c r="D69" s="159"/>
      <c r="E69" s="159">
        <f t="shared" si="3"/>
        <v>0</v>
      </c>
      <c r="F69" s="159">
        <v>0</v>
      </c>
      <c r="G69" s="158" t="e">
        <v>#DIV/0!</v>
      </c>
      <c r="H69" s="194"/>
    </row>
    <row r="70" spans="1:8" ht="12.75" customHeight="1" x14ac:dyDescent="0.25">
      <c r="A70" s="174" t="s">
        <v>43</v>
      </c>
      <c r="B70" s="35" t="s">
        <v>68</v>
      </c>
      <c r="C70" s="193" t="s">
        <v>59</v>
      </c>
      <c r="D70" s="159">
        <v>146158.70000000001</v>
      </c>
      <c r="E70" s="159">
        <f t="shared" si="3"/>
        <v>73079.350000000006</v>
      </c>
      <c r="F70" s="159">
        <f>48345.00917/4*6</f>
        <v>72517.513754999993</v>
      </c>
      <c r="G70" s="158">
        <v>-0.76880301343678215</v>
      </c>
      <c r="H70" s="194"/>
    </row>
    <row r="71" spans="1:8" ht="12.75" hidden="1" customHeight="1" x14ac:dyDescent="0.25">
      <c r="A71" s="174"/>
      <c r="B71" s="35" t="s">
        <v>223</v>
      </c>
      <c r="C71" s="193" t="s">
        <v>59</v>
      </c>
      <c r="D71" s="159"/>
      <c r="E71" s="159">
        <f t="shared" si="3"/>
        <v>0</v>
      </c>
      <c r="F71" s="159"/>
      <c r="G71" s="158" t="e">
        <v>#DIV/0!</v>
      </c>
      <c r="H71" s="194"/>
    </row>
    <row r="72" spans="1:8" ht="12.75" hidden="1" customHeight="1" x14ac:dyDescent="0.25">
      <c r="A72" s="174"/>
      <c r="B72" s="35" t="s">
        <v>224</v>
      </c>
      <c r="C72" s="193" t="s">
        <v>59</v>
      </c>
      <c r="D72" s="159"/>
      <c r="E72" s="159">
        <f t="shared" si="3"/>
        <v>0</v>
      </c>
      <c r="F72" s="159"/>
      <c r="G72" s="158" t="e">
        <v>#DIV/0!</v>
      </c>
      <c r="H72" s="194"/>
    </row>
    <row r="73" spans="1:8" ht="12.75" hidden="1" customHeight="1" x14ac:dyDescent="0.25">
      <c r="A73" s="174"/>
      <c r="B73" s="35" t="s">
        <v>225</v>
      </c>
      <c r="C73" s="193" t="s">
        <v>59</v>
      </c>
      <c r="D73" s="159"/>
      <c r="E73" s="159">
        <f t="shared" si="3"/>
        <v>0</v>
      </c>
      <c r="F73" s="159"/>
      <c r="G73" s="158" t="e">
        <v>#DIV/0!</v>
      </c>
      <c r="H73" s="194"/>
    </row>
    <row r="74" spans="1:8" ht="12.75" hidden="1" customHeight="1" x14ac:dyDescent="0.25">
      <c r="A74" s="174"/>
      <c r="B74" s="35" t="s">
        <v>226</v>
      </c>
      <c r="C74" s="193" t="s">
        <v>59</v>
      </c>
      <c r="D74" s="159"/>
      <c r="E74" s="159">
        <f t="shared" si="3"/>
        <v>0</v>
      </c>
      <c r="F74" s="159"/>
      <c r="G74" s="158" t="e">
        <v>#DIV/0!</v>
      </c>
      <c r="H74" s="194"/>
    </row>
    <row r="75" spans="1:8" ht="12.75" customHeight="1" x14ac:dyDescent="0.25">
      <c r="A75" s="174" t="s">
        <v>44</v>
      </c>
      <c r="B75" s="35" t="s">
        <v>46</v>
      </c>
      <c r="C75" s="193" t="s">
        <v>59</v>
      </c>
      <c r="D75" s="159">
        <v>292.57</v>
      </c>
      <c r="E75" s="159">
        <f t="shared" si="3"/>
        <v>146.285</v>
      </c>
      <c r="F75" s="159">
        <v>4.9142799999999998</v>
      </c>
      <c r="G75" s="158">
        <v>-96.640612502990734</v>
      </c>
      <c r="H75" s="255"/>
    </row>
    <row r="76" spans="1:8" ht="12.75" customHeight="1" x14ac:dyDescent="0.25">
      <c r="A76" s="174" t="s">
        <v>45</v>
      </c>
      <c r="B76" s="35" t="s">
        <v>28</v>
      </c>
      <c r="C76" s="193" t="s">
        <v>59</v>
      </c>
      <c r="D76" s="159">
        <v>9483.58</v>
      </c>
      <c r="E76" s="159">
        <f t="shared" si="3"/>
        <v>4741.79</v>
      </c>
      <c r="F76" s="159">
        <f>854.49769/4*6</f>
        <v>1281.746535</v>
      </c>
      <c r="G76" s="158">
        <v>-72.96914171652476</v>
      </c>
      <c r="H76" s="256"/>
    </row>
    <row r="77" spans="1:8" ht="12.75" customHeight="1" x14ac:dyDescent="0.25">
      <c r="A77" s="174" t="s">
        <v>87</v>
      </c>
      <c r="B77" s="157" t="s">
        <v>53</v>
      </c>
      <c r="C77" s="193" t="s">
        <v>59</v>
      </c>
      <c r="D77" s="181">
        <f>D78+D79+D80+D81+D82+D83+D84</f>
        <v>14873.560000000001</v>
      </c>
      <c r="E77" s="181">
        <f>E78+E79+E80+E81+E82+E84+E83</f>
        <v>7436.7800000000007</v>
      </c>
      <c r="F77" s="181">
        <f>F78+F79+F80+F81+F82+F84+F83</f>
        <v>9309.54486</v>
      </c>
      <c r="G77" s="158">
        <v>25.18246956344008</v>
      </c>
      <c r="H77" s="256"/>
    </row>
    <row r="78" spans="1:8" ht="12.75" customHeight="1" x14ac:dyDescent="0.25">
      <c r="A78" s="174" t="s">
        <v>91</v>
      </c>
      <c r="B78" s="35" t="s">
        <v>69</v>
      </c>
      <c r="C78" s="193" t="s">
        <v>59</v>
      </c>
      <c r="D78" s="159">
        <v>1655.17</v>
      </c>
      <c r="E78" s="159">
        <f t="shared" si="3"/>
        <v>827.58500000000004</v>
      </c>
      <c r="F78" s="159">
        <f>1828.65217/4*6</f>
        <v>2742.978255</v>
      </c>
      <c r="G78" s="158">
        <v>231.44368916788002</v>
      </c>
      <c r="H78" s="256"/>
    </row>
    <row r="79" spans="1:8" ht="12.75" customHeight="1" x14ac:dyDescent="0.25">
      <c r="A79" s="174" t="s">
        <v>92</v>
      </c>
      <c r="B79" s="35" t="s">
        <v>13</v>
      </c>
      <c r="C79" s="193" t="s">
        <v>59</v>
      </c>
      <c r="D79" s="159">
        <v>280.24</v>
      </c>
      <c r="E79" s="159">
        <f t="shared" si="3"/>
        <v>140.12</v>
      </c>
      <c r="F79" s="159">
        <f>348.65476/4*6</f>
        <v>522.98214000000007</v>
      </c>
      <c r="G79" s="158">
        <v>273.23875249785902</v>
      </c>
      <c r="H79" s="256"/>
    </row>
    <row r="80" spans="1:8" ht="12.75" customHeight="1" x14ac:dyDescent="0.25">
      <c r="A80" s="174" t="s">
        <v>93</v>
      </c>
      <c r="B80" s="35" t="s">
        <v>65</v>
      </c>
      <c r="C80" s="193" t="s">
        <v>59</v>
      </c>
      <c r="D80" s="159">
        <v>870.36</v>
      </c>
      <c r="E80" s="159">
        <f t="shared" si="3"/>
        <v>435.18</v>
      </c>
      <c r="F80" s="159">
        <f>267.26918/4*6</f>
        <v>400.90377000000001</v>
      </c>
      <c r="G80" s="158">
        <v>-7.8763339307872604</v>
      </c>
      <c r="H80" s="256"/>
    </row>
    <row r="81" spans="1:8" ht="12.75" customHeight="1" x14ac:dyDescent="0.25">
      <c r="A81" s="174" t="s">
        <v>94</v>
      </c>
      <c r="B81" s="35" t="s">
        <v>90</v>
      </c>
      <c r="C81" s="193" t="s">
        <v>59</v>
      </c>
      <c r="D81" s="159">
        <v>356.6</v>
      </c>
      <c r="E81" s="159">
        <f t="shared" si="3"/>
        <v>178.3</v>
      </c>
      <c r="F81" s="159">
        <f>260.36776/4*6</f>
        <v>390.55163999999996</v>
      </c>
      <c r="G81" s="158">
        <v>119.041862030286</v>
      </c>
      <c r="H81" s="256"/>
    </row>
    <row r="82" spans="1:8" ht="12.75" customHeight="1" x14ac:dyDescent="0.25">
      <c r="A82" s="174" t="s">
        <v>95</v>
      </c>
      <c r="B82" s="35" t="s">
        <v>89</v>
      </c>
      <c r="C82" s="193" t="s">
        <v>59</v>
      </c>
      <c r="D82" s="159">
        <v>1043.31</v>
      </c>
      <c r="E82" s="159">
        <f t="shared" si="3"/>
        <v>521.65499999999997</v>
      </c>
      <c r="F82" s="159">
        <f>102.41751/4*6</f>
        <v>153.62626499999999</v>
      </c>
      <c r="G82" s="158">
        <v>-70.550217097506973</v>
      </c>
      <c r="H82" s="256"/>
    </row>
    <row r="83" spans="1:8" ht="12.75" customHeight="1" x14ac:dyDescent="0.25">
      <c r="A83" s="174" t="s">
        <v>96</v>
      </c>
      <c r="B83" s="35" t="s">
        <v>83</v>
      </c>
      <c r="C83" s="193" t="s">
        <v>59</v>
      </c>
      <c r="D83" s="159">
        <v>60.79</v>
      </c>
      <c r="E83" s="159">
        <f t="shared" si="3"/>
        <v>30.394999999999996</v>
      </c>
      <c r="F83" s="159">
        <f>92.67816/4*6</f>
        <v>139.01724000000002</v>
      </c>
      <c r="G83" s="158">
        <v>357.36877775950006</v>
      </c>
      <c r="H83" s="256"/>
    </row>
    <row r="84" spans="1:8" ht="12.75" customHeight="1" x14ac:dyDescent="0.25">
      <c r="A84" s="174" t="s">
        <v>97</v>
      </c>
      <c r="B84" s="157" t="s">
        <v>145</v>
      </c>
      <c r="C84" s="193" t="s">
        <v>59</v>
      </c>
      <c r="D84" s="19">
        <f>SUM(D85:D105)-D89</f>
        <v>10607.09</v>
      </c>
      <c r="E84" s="19">
        <f>SUM(E85:E105)-E89</f>
        <v>5303.5450000000001</v>
      </c>
      <c r="F84" s="19">
        <f>SUM(F85:F105)-F89</f>
        <v>4959.4855499999994</v>
      </c>
      <c r="G84" s="158">
        <v>-6.4873485564844016</v>
      </c>
      <c r="H84" s="256"/>
    </row>
    <row r="85" spans="1:8" ht="12.75" customHeight="1" x14ac:dyDescent="0.25">
      <c r="A85" s="174"/>
      <c r="B85" s="180" t="s">
        <v>8</v>
      </c>
      <c r="C85" s="193" t="s">
        <v>59</v>
      </c>
      <c r="D85" s="159">
        <v>2.06</v>
      </c>
      <c r="E85" s="159">
        <f t="shared" si="3"/>
        <v>1.03</v>
      </c>
      <c r="F85" s="159">
        <f>27.15931/4*6</f>
        <v>40.738965</v>
      </c>
      <c r="G85" s="158">
        <v>3855.2393203883489</v>
      </c>
      <c r="H85" s="256"/>
    </row>
    <row r="86" spans="1:8" ht="12.75" customHeight="1" x14ac:dyDescent="0.25">
      <c r="A86" s="174"/>
      <c r="B86" s="180" t="s">
        <v>98</v>
      </c>
      <c r="C86" s="193" t="s">
        <v>59</v>
      </c>
      <c r="D86" s="159">
        <v>382.67</v>
      </c>
      <c r="E86" s="159">
        <f t="shared" si="3"/>
        <v>191.33500000000001</v>
      </c>
      <c r="F86" s="159">
        <f>281.50306/4*6</f>
        <v>422.25459000000001</v>
      </c>
      <c r="G86" s="158">
        <v>120.68862988998352</v>
      </c>
      <c r="H86" s="256"/>
    </row>
    <row r="87" spans="1:8" ht="12.75" customHeight="1" x14ac:dyDescent="0.25">
      <c r="A87" s="174"/>
      <c r="B87" s="35" t="s">
        <v>29</v>
      </c>
      <c r="C87" s="193" t="s">
        <v>59</v>
      </c>
      <c r="D87" s="159">
        <v>3418.46</v>
      </c>
      <c r="E87" s="159">
        <f t="shared" si="3"/>
        <v>1709.23</v>
      </c>
      <c r="F87" s="159">
        <f>765.70697/4*6</f>
        <v>1148.5604549999998</v>
      </c>
      <c r="G87" s="158">
        <v>-32.802463389947533</v>
      </c>
      <c r="H87" s="256"/>
    </row>
    <row r="88" spans="1:8" ht="12.75" hidden="1" customHeight="1" x14ac:dyDescent="0.25">
      <c r="A88" s="174"/>
      <c r="B88" s="180" t="s">
        <v>130</v>
      </c>
      <c r="C88" s="193" t="s">
        <v>59</v>
      </c>
      <c r="D88" s="159"/>
      <c r="E88" s="159">
        <f t="shared" si="3"/>
        <v>0</v>
      </c>
      <c r="F88" s="159"/>
      <c r="G88" s="158" t="e">
        <v>#DIV/0!</v>
      </c>
      <c r="H88" s="256"/>
    </row>
    <row r="89" spans="1:8" ht="13.5" customHeight="1" x14ac:dyDescent="0.25">
      <c r="A89" s="174"/>
      <c r="B89" s="167" t="s">
        <v>237</v>
      </c>
      <c r="C89" s="193" t="s">
        <v>59</v>
      </c>
      <c r="E89" s="159"/>
      <c r="F89" s="159"/>
      <c r="G89" s="158"/>
      <c r="H89" s="256"/>
    </row>
    <row r="90" spans="1:8" ht="12.75" customHeight="1" x14ac:dyDescent="0.25">
      <c r="A90" s="174"/>
      <c r="B90" s="180" t="s">
        <v>110</v>
      </c>
      <c r="C90" s="193" t="s">
        <v>59</v>
      </c>
      <c r="D90" s="159">
        <v>597.37</v>
      </c>
      <c r="E90" s="159">
        <f t="shared" si="3"/>
        <v>298.685</v>
      </c>
      <c r="F90" s="159">
        <f>461.03986/4*6</f>
        <v>691.55979000000002</v>
      </c>
      <c r="G90" s="158">
        <v>131.53482431323971</v>
      </c>
      <c r="H90" s="256"/>
    </row>
    <row r="91" spans="1:8" ht="12.75" customHeight="1" x14ac:dyDescent="0.25">
      <c r="A91" s="174"/>
      <c r="B91" s="180" t="s">
        <v>12</v>
      </c>
      <c r="C91" s="193" t="s">
        <v>59</v>
      </c>
      <c r="D91" s="159">
        <v>157.05000000000001</v>
      </c>
      <c r="E91" s="159">
        <f t="shared" si="3"/>
        <v>78.525000000000006</v>
      </c>
      <c r="F91" s="159">
        <v>0</v>
      </c>
      <c r="G91" s="158">
        <v>-100</v>
      </c>
      <c r="H91" s="256"/>
    </row>
    <row r="92" spans="1:8" ht="12.75" customHeight="1" x14ac:dyDescent="0.25">
      <c r="A92" s="174"/>
      <c r="B92" s="180" t="s">
        <v>149</v>
      </c>
      <c r="C92" s="193" t="s">
        <v>59</v>
      </c>
      <c r="D92" s="159">
        <v>25.96</v>
      </c>
      <c r="E92" s="159">
        <f t="shared" si="3"/>
        <v>12.98</v>
      </c>
      <c r="F92" s="159">
        <v>31.789279999999998</v>
      </c>
      <c r="G92" s="158">
        <v>144.90970724191061</v>
      </c>
      <c r="H92" s="256"/>
    </row>
    <row r="93" spans="1:8" ht="12.75" customHeight="1" x14ac:dyDescent="0.25">
      <c r="A93" s="174"/>
      <c r="B93" s="180" t="s">
        <v>150</v>
      </c>
      <c r="C93" s="193" t="s">
        <v>59</v>
      </c>
      <c r="D93" s="159">
        <v>15.58</v>
      </c>
      <c r="E93" s="159">
        <f t="shared" si="3"/>
        <v>7.79</v>
      </c>
      <c r="F93" s="159"/>
      <c r="G93" s="158">
        <v>-100</v>
      </c>
      <c r="H93" s="256"/>
    </row>
    <row r="94" spans="1:8" ht="12.75" customHeight="1" x14ac:dyDescent="0.25">
      <c r="A94" s="174"/>
      <c r="B94" s="180" t="s">
        <v>148</v>
      </c>
      <c r="C94" s="193" t="s">
        <v>59</v>
      </c>
      <c r="D94" s="159">
        <v>11.01</v>
      </c>
      <c r="E94" s="159">
        <f t="shared" si="3"/>
        <v>5.5049999999999999</v>
      </c>
      <c r="F94" s="159"/>
      <c r="G94" s="158">
        <v>-100</v>
      </c>
      <c r="H94" s="256"/>
    </row>
    <row r="95" spans="1:8" ht="12.75" customHeight="1" x14ac:dyDescent="0.25">
      <c r="A95" s="174"/>
      <c r="B95" s="206" t="s">
        <v>127</v>
      </c>
      <c r="C95" s="193" t="s">
        <v>59</v>
      </c>
      <c r="D95" s="159">
        <v>15.89</v>
      </c>
      <c r="E95" s="159">
        <f t="shared" si="3"/>
        <v>7.9450000000000003</v>
      </c>
      <c r="F95" s="159">
        <v>0</v>
      </c>
      <c r="G95" s="158">
        <v>-100</v>
      </c>
      <c r="H95" s="256"/>
    </row>
    <row r="96" spans="1:8" ht="12.75" customHeight="1" x14ac:dyDescent="0.25">
      <c r="A96" s="174"/>
      <c r="B96" s="162" t="s">
        <v>152</v>
      </c>
      <c r="C96" s="207" t="s">
        <v>59</v>
      </c>
      <c r="D96" s="159">
        <v>6.34</v>
      </c>
      <c r="E96" s="159">
        <f t="shared" si="3"/>
        <v>3.17</v>
      </c>
      <c r="F96" s="173"/>
      <c r="G96" s="158">
        <v>-100</v>
      </c>
      <c r="H96" s="256"/>
    </row>
    <row r="97" spans="1:8" ht="12.75" customHeight="1" x14ac:dyDescent="0.25">
      <c r="A97" s="174"/>
      <c r="B97" s="162" t="s">
        <v>15</v>
      </c>
      <c r="C97" s="207" t="s">
        <v>59</v>
      </c>
      <c r="D97" s="159">
        <v>776.16</v>
      </c>
      <c r="E97" s="159">
        <f t="shared" si="3"/>
        <v>388.07999999999993</v>
      </c>
      <c r="F97" s="159">
        <v>301</v>
      </c>
      <c r="G97" s="158">
        <v>-22.438672438672423</v>
      </c>
      <c r="H97" s="256"/>
    </row>
    <row r="98" spans="1:8" ht="12.75" customHeight="1" x14ac:dyDescent="0.25">
      <c r="A98" s="174"/>
      <c r="B98" s="35" t="s">
        <v>156</v>
      </c>
      <c r="C98" s="193" t="s">
        <v>59</v>
      </c>
      <c r="D98" s="159">
        <v>798.11</v>
      </c>
      <c r="E98" s="159">
        <f t="shared" si="3"/>
        <v>399.05500000000006</v>
      </c>
      <c r="F98" s="159">
        <f>102.73174/4*6</f>
        <v>154.09761</v>
      </c>
      <c r="G98" s="158">
        <v>-61.384368069564353</v>
      </c>
      <c r="H98" s="256"/>
    </row>
    <row r="99" spans="1:8" ht="12.75" customHeight="1" x14ac:dyDescent="0.25">
      <c r="A99" s="174"/>
      <c r="B99" s="35" t="s">
        <v>66</v>
      </c>
      <c r="C99" s="193" t="s">
        <v>59</v>
      </c>
      <c r="D99" s="159">
        <v>47</v>
      </c>
      <c r="E99" s="159">
        <f t="shared" si="3"/>
        <v>23.5</v>
      </c>
      <c r="F99" s="159">
        <v>0</v>
      </c>
      <c r="G99" s="158">
        <v>-100</v>
      </c>
      <c r="H99" s="256"/>
    </row>
    <row r="100" spans="1:8" ht="12.75" customHeight="1" x14ac:dyDescent="0.25">
      <c r="A100" s="174"/>
      <c r="B100" s="180" t="s">
        <v>120</v>
      </c>
      <c r="C100" s="193" t="s">
        <v>59</v>
      </c>
      <c r="D100" s="159">
        <v>147.31</v>
      </c>
      <c r="E100" s="159">
        <f t="shared" si="3"/>
        <v>73.655000000000001</v>
      </c>
      <c r="F100" s="159">
        <f>117.04901/4*6</f>
        <v>175.57351499999999</v>
      </c>
      <c r="G100" s="158">
        <v>138.37283958998029</v>
      </c>
      <c r="H100" s="256"/>
    </row>
    <row r="101" spans="1:8" ht="12.75" customHeight="1" x14ac:dyDescent="0.25">
      <c r="A101" s="174"/>
      <c r="B101" s="180" t="s">
        <v>122</v>
      </c>
      <c r="C101" s="193" t="s">
        <v>59</v>
      </c>
      <c r="D101" s="159">
        <v>0</v>
      </c>
      <c r="E101" s="159">
        <f t="shared" si="3"/>
        <v>0</v>
      </c>
      <c r="F101" s="159">
        <f>718.12753/4*6</f>
        <v>1077.1912950000001</v>
      </c>
      <c r="G101" s="158" t="e">
        <v>#DIV/0!</v>
      </c>
      <c r="H101" s="256"/>
    </row>
    <row r="102" spans="1:8" ht="12.75" customHeight="1" x14ac:dyDescent="0.25">
      <c r="A102" s="174"/>
      <c r="B102" s="180" t="s">
        <v>361</v>
      </c>
      <c r="C102" s="193" t="s">
        <v>59</v>
      </c>
      <c r="D102" s="159">
        <v>2083.16</v>
      </c>
      <c r="E102" s="159">
        <f t="shared" si="3"/>
        <v>1041.58</v>
      </c>
      <c r="F102" s="159"/>
      <c r="G102" s="158">
        <v>-100</v>
      </c>
      <c r="H102" s="256"/>
    </row>
    <row r="103" spans="1:8" ht="12.75" customHeight="1" x14ac:dyDescent="0.25">
      <c r="A103" s="174"/>
      <c r="B103" s="180" t="s">
        <v>124</v>
      </c>
      <c r="C103" s="193" t="s">
        <v>59</v>
      </c>
      <c r="D103" s="159">
        <v>0</v>
      </c>
      <c r="E103" s="159">
        <f t="shared" si="3"/>
        <v>0</v>
      </c>
      <c r="F103" s="192"/>
      <c r="G103" s="158" t="e">
        <v>#DIV/0!</v>
      </c>
      <c r="H103" s="256"/>
    </row>
    <row r="104" spans="1:8" ht="12.75" customHeight="1" x14ac:dyDescent="0.25">
      <c r="A104" s="174"/>
      <c r="B104" s="175" t="s">
        <v>162</v>
      </c>
      <c r="C104" s="193" t="s">
        <v>59</v>
      </c>
      <c r="D104" s="159">
        <v>39.799999999999997</v>
      </c>
      <c r="E104" s="159">
        <f t="shared" si="3"/>
        <v>19.899999999999999</v>
      </c>
      <c r="F104" s="159">
        <f>110.94071/4*6</f>
        <v>166.41106500000001</v>
      </c>
      <c r="G104" s="158">
        <v>736.23650753768845</v>
      </c>
      <c r="H104" s="256"/>
    </row>
    <row r="105" spans="1:8" ht="12.75" customHeight="1" x14ac:dyDescent="0.25">
      <c r="A105" s="174"/>
      <c r="B105" s="180" t="s">
        <v>333</v>
      </c>
      <c r="C105" s="193" t="s">
        <v>59</v>
      </c>
      <c r="D105" s="159">
        <v>2083.16</v>
      </c>
      <c r="E105" s="159">
        <f t="shared" si="3"/>
        <v>1041.58</v>
      </c>
      <c r="F105" s="217">
        <f>500.20599/4*6</f>
        <v>750.30898500000001</v>
      </c>
      <c r="G105" s="158">
        <v>-27.964344073426904</v>
      </c>
      <c r="H105" s="257"/>
    </row>
    <row r="106" spans="1:8" s="216" customFormat="1" ht="12.75" customHeight="1" x14ac:dyDescent="0.25">
      <c r="A106" s="183" t="s">
        <v>14</v>
      </c>
      <c r="B106" s="157" t="s">
        <v>440</v>
      </c>
      <c r="C106" s="190" t="s">
        <v>59</v>
      </c>
      <c r="D106" s="181">
        <f>D107+D110+D112+D113+D114+D111</f>
        <v>200589.08999999997</v>
      </c>
      <c r="E106" s="181">
        <f>E107+E110+E112+E113+E114+E111</f>
        <v>100294.54499999998</v>
      </c>
      <c r="F106" s="181">
        <f>F107+F110+F112+F113+F114+F111</f>
        <v>84239.164199999999</v>
      </c>
      <c r="G106" s="158">
        <v>-16.008229360829134</v>
      </c>
      <c r="H106" s="215"/>
    </row>
    <row r="107" spans="1:8" ht="12.75" customHeight="1" x14ac:dyDescent="0.25">
      <c r="A107" s="174" t="s">
        <v>47</v>
      </c>
      <c r="B107" s="35" t="s">
        <v>20</v>
      </c>
      <c r="C107" s="193" t="s">
        <v>59</v>
      </c>
      <c r="D107" s="159">
        <v>165309.9</v>
      </c>
      <c r="E107" s="159">
        <f t="shared" si="3"/>
        <v>82654.95</v>
      </c>
      <c r="F107" s="159">
        <f>44414.84262/4*6</f>
        <v>66622.263930000001</v>
      </c>
      <c r="G107" s="158">
        <v>-19.397127540455831</v>
      </c>
      <c r="H107" s="194"/>
    </row>
    <row r="108" spans="1:8" ht="12.75" customHeight="1" x14ac:dyDescent="0.25">
      <c r="A108" s="174" t="s">
        <v>48</v>
      </c>
      <c r="B108" s="35" t="s">
        <v>100</v>
      </c>
      <c r="C108" s="193" t="s">
        <v>99</v>
      </c>
      <c r="D108" s="159">
        <f>D107/D109/12*1000</f>
        <v>215247.26562499997</v>
      </c>
      <c r="E108" s="159">
        <f>E107/E109/6*1000</f>
        <v>215247.26562499997</v>
      </c>
      <c r="F108" s="159">
        <f>F107/F109/6*1000</f>
        <v>269703.92652416806</v>
      </c>
      <c r="G108" s="158">
        <v>25.299583128754595</v>
      </c>
      <c r="H108" s="194"/>
    </row>
    <row r="109" spans="1:8" ht="12.75" customHeight="1" x14ac:dyDescent="0.25">
      <c r="A109" s="174" t="s">
        <v>49</v>
      </c>
      <c r="B109" s="35" t="s">
        <v>111</v>
      </c>
      <c r="C109" s="193" t="s">
        <v>101</v>
      </c>
      <c r="D109" s="159">
        <v>64</v>
      </c>
      <c r="E109" s="159">
        <v>64</v>
      </c>
      <c r="F109" s="159">
        <v>41.17</v>
      </c>
      <c r="G109" s="158">
        <v>-35.671875</v>
      </c>
      <c r="H109" s="194"/>
    </row>
    <row r="110" spans="1:8" ht="12.75" customHeight="1" x14ac:dyDescent="0.25">
      <c r="A110" s="174" t="s">
        <v>50</v>
      </c>
      <c r="B110" s="35" t="s">
        <v>70</v>
      </c>
      <c r="C110" s="193" t="s">
        <v>59</v>
      </c>
      <c r="D110" s="159">
        <v>14134</v>
      </c>
      <c r="E110" s="159">
        <f t="shared" si="3"/>
        <v>7067</v>
      </c>
      <c r="F110" s="159">
        <f>4227.31536/4*6</f>
        <v>6340.9730399999989</v>
      </c>
      <c r="G110" s="158">
        <v>-10.273481816895444</v>
      </c>
      <c r="H110" s="194"/>
    </row>
    <row r="111" spans="1:8" ht="12.75" customHeight="1" x14ac:dyDescent="0.25">
      <c r="A111" s="174"/>
      <c r="B111" s="176" t="s">
        <v>560</v>
      </c>
      <c r="C111" s="193"/>
      <c r="D111" s="159">
        <v>2479.65</v>
      </c>
      <c r="E111" s="159">
        <f t="shared" si="3"/>
        <v>1239.825</v>
      </c>
      <c r="F111" s="159">
        <f>381.02444/4*6</f>
        <v>571.53665999999998</v>
      </c>
      <c r="G111" s="158">
        <v>0</v>
      </c>
      <c r="H111" s="194"/>
    </row>
    <row r="112" spans="1:8" ht="12.75" customHeight="1" x14ac:dyDescent="0.25">
      <c r="A112" s="174" t="s">
        <v>51</v>
      </c>
      <c r="B112" s="35" t="s">
        <v>28</v>
      </c>
      <c r="C112" s="193" t="s">
        <v>59</v>
      </c>
      <c r="D112" s="159">
        <v>706.87</v>
      </c>
      <c r="E112" s="159">
        <f t="shared" si="3"/>
        <v>353.435</v>
      </c>
      <c r="F112" s="159">
        <f>300.14649/4*6</f>
        <v>450.21973499999996</v>
      </c>
      <c r="G112" s="158">
        <v>27.384026765883391</v>
      </c>
      <c r="H112" s="194"/>
    </row>
    <row r="113" spans="1:8" ht="12.75" customHeight="1" x14ac:dyDescent="0.25">
      <c r="A113" s="174" t="s">
        <v>346</v>
      </c>
      <c r="B113" s="35" t="s">
        <v>153</v>
      </c>
      <c r="C113" s="193" t="s">
        <v>59</v>
      </c>
      <c r="D113" s="159">
        <v>123.3</v>
      </c>
      <c r="E113" s="159">
        <f t="shared" si="3"/>
        <v>61.650000000000006</v>
      </c>
      <c r="F113" s="159">
        <v>0</v>
      </c>
      <c r="G113" s="158">
        <v>-100</v>
      </c>
      <c r="H113" s="194"/>
    </row>
    <row r="114" spans="1:8" ht="12.75" customHeight="1" x14ac:dyDescent="0.25">
      <c r="A114" s="174" t="s">
        <v>347</v>
      </c>
      <c r="B114" s="157" t="s">
        <v>53</v>
      </c>
      <c r="C114" s="193" t="s">
        <v>59</v>
      </c>
      <c r="D114" s="181">
        <f>D115+D116+D117+D118+D120</f>
        <v>17835.37</v>
      </c>
      <c r="E114" s="181">
        <f>E115+E116+E117+E118+E120</f>
        <v>8917.6849999999995</v>
      </c>
      <c r="F114" s="181">
        <f>F115+F116+F117+F118+F120</f>
        <v>10254.170835000001</v>
      </c>
      <c r="G114" s="158">
        <v>14.986914597230127</v>
      </c>
      <c r="H114" s="194"/>
    </row>
    <row r="115" spans="1:8" ht="12.75" customHeight="1" x14ac:dyDescent="0.25">
      <c r="A115" s="174" t="s">
        <v>362</v>
      </c>
      <c r="B115" s="35" t="s">
        <v>112</v>
      </c>
      <c r="C115" s="193" t="s">
        <v>59</v>
      </c>
      <c r="D115" s="159">
        <v>281.22000000000003</v>
      </c>
      <c r="E115" s="159">
        <f t="shared" si="3"/>
        <v>140.61000000000001</v>
      </c>
      <c r="F115" s="159">
        <f>213.26383/4*6</f>
        <v>319.89574500000003</v>
      </c>
      <c r="G115" s="158">
        <v>127.50568593983358</v>
      </c>
      <c r="H115" s="194"/>
    </row>
    <row r="116" spans="1:8" ht="12.75" customHeight="1" x14ac:dyDescent="0.25">
      <c r="A116" s="174" t="s">
        <v>363</v>
      </c>
      <c r="B116" s="35" t="s">
        <v>69</v>
      </c>
      <c r="C116" s="193" t="s">
        <v>59</v>
      </c>
      <c r="D116" s="159">
        <v>1103.23</v>
      </c>
      <c r="E116" s="159">
        <f t="shared" si="3"/>
        <v>551.61500000000001</v>
      </c>
      <c r="F116" s="159">
        <f>527.98909/4*6</f>
        <v>791.98363500000005</v>
      </c>
      <c r="G116" s="158">
        <v>43.575434859458149</v>
      </c>
      <c r="H116" s="196"/>
    </row>
    <row r="117" spans="1:8" ht="12.75" customHeight="1" x14ac:dyDescent="0.25">
      <c r="A117" s="174" t="s">
        <v>364</v>
      </c>
      <c r="B117" s="35" t="s">
        <v>16</v>
      </c>
      <c r="C117" s="193" t="s">
        <v>59</v>
      </c>
      <c r="D117" s="159">
        <v>1410.19</v>
      </c>
      <c r="E117" s="159">
        <f t="shared" si="3"/>
        <v>705.09500000000003</v>
      </c>
      <c r="F117" s="159">
        <f>452.7366/4*6</f>
        <v>679.10490000000004</v>
      </c>
      <c r="G117" s="158">
        <v>-3.6860423063558785</v>
      </c>
      <c r="H117" s="194"/>
    </row>
    <row r="118" spans="1:8" ht="12.75" customHeight="1" x14ac:dyDescent="0.25">
      <c r="A118" s="174" t="s">
        <v>365</v>
      </c>
      <c r="B118" s="35" t="s">
        <v>29</v>
      </c>
      <c r="C118" s="193" t="s">
        <v>59</v>
      </c>
      <c r="D118" s="159">
        <v>6332.18</v>
      </c>
      <c r="E118" s="159">
        <f t="shared" si="3"/>
        <v>3166.09</v>
      </c>
      <c r="F118" s="159">
        <f>1581.33195/4*6</f>
        <v>2371.9979250000001</v>
      </c>
      <c r="G118" s="158">
        <v>-25.081159253211371</v>
      </c>
      <c r="H118" s="194"/>
    </row>
    <row r="119" spans="1:8" ht="12.75" customHeight="1" x14ac:dyDescent="0.25">
      <c r="A119" s="174" t="s">
        <v>366</v>
      </c>
      <c r="B119" s="176" t="s">
        <v>370</v>
      </c>
      <c r="C119" s="193" t="s">
        <v>59</v>
      </c>
      <c r="D119" s="171">
        <v>3208.86</v>
      </c>
      <c r="E119" s="159">
        <f t="shared" si="3"/>
        <v>1604.4300000000003</v>
      </c>
      <c r="F119" s="159">
        <f>1440.98775/4*6</f>
        <v>2161.4816249999999</v>
      </c>
      <c r="G119" s="158">
        <v>34.719596679194446</v>
      </c>
      <c r="H119" s="194"/>
    </row>
    <row r="120" spans="1:8" ht="12.75" customHeight="1" x14ac:dyDescent="0.25">
      <c r="A120" s="174" t="s">
        <v>367</v>
      </c>
      <c r="B120" s="157" t="s">
        <v>145</v>
      </c>
      <c r="C120" s="193" t="s">
        <v>59</v>
      </c>
      <c r="D120" s="19">
        <f>SUM(D121:D126)</f>
        <v>8708.5499999999993</v>
      </c>
      <c r="E120" s="19">
        <f>SUM(E121:E126)</f>
        <v>4354.2749999999996</v>
      </c>
      <c r="F120" s="19">
        <f>SUM(F121:F126)</f>
        <v>6091.1886300000006</v>
      </c>
      <c r="G120" s="158">
        <v>39.889846874623238</v>
      </c>
      <c r="H120" s="194"/>
    </row>
    <row r="121" spans="1:8" ht="12.75" customHeight="1" x14ac:dyDescent="0.25">
      <c r="A121" s="174" t="s">
        <v>368</v>
      </c>
      <c r="B121" s="35" t="s">
        <v>98</v>
      </c>
      <c r="C121" s="193" t="s">
        <v>59</v>
      </c>
      <c r="D121" s="159">
        <v>1303.33</v>
      </c>
      <c r="E121" s="159">
        <f t="shared" si="3"/>
        <v>651.66499999999996</v>
      </c>
      <c r="F121" s="159">
        <f>570.41193/4*6</f>
        <v>855.61789499999998</v>
      </c>
      <c r="G121" s="158">
        <v>31.297199481328601</v>
      </c>
      <c r="H121" s="194"/>
    </row>
    <row r="122" spans="1:8" ht="12.75" customHeight="1" x14ac:dyDescent="0.25">
      <c r="A122" s="174" t="s">
        <v>369</v>
      </c>
      <c r="B122" s="35" t="s">
        <v>371</v>
      </c>
      <c r="C122" s="193" t="s">
        <v>59</v>
      </c>
      <c r="D122" s="159">
        <v>119.58</v>
      </c>
      <c r="E122" s="159">
        <f t="shared" si="3"/>
        <v>59.79</v>
      </c>
      <c r="F122" s="159"/>
      <c r="G122" s="158">
        <v>-100</v>
      </c>
      <c r="H122" s="194"/>
    </row>
    <row r="123" spans="1:8" ht="12.75" customHeight="1" x14ac:dyDescent="0.25">
      <c r="A123" s="174" t="s">
        <v>398</v>
      </c>
      <c r="B123" s="206" t="s">
        <v>6</v>
      </c>
      <c r="C123" s="208" t="s">
        <v>59</v>
      </c>
      <c r="D123" s="159">
        <v>302.74</v>
      </c>
      <c r="E123" s="159">
        <f t="shared" si="3"/>
        <v>151.37</v>
      </c>
      <c r="F123" s="159">
        <v>0</v>
      </c>
      <c r="G123" s="158">
        <v>-100</v>
      </c>
      <c r="H123" s="194"/>
    </row>
    <row r="124" spans="1:8" x14ac:dyDescent="0.25">
      <c r="A124" s="174" t="s">
        <v>373</v>
      </c>
      <c r="B124" s="180" t="s">
        <v>160</v>
      </c>
      <c r="C124" s="193" t="s">
        <v>59</v>
      </c>
      <c r="D124" s="159">
        <v>16.38</v>
      </c>
      <c r="E124" s="159">
        <f t="shared" si="3"/>
        <v>8.19</v>
      </c>
      <c r="F124" s="159"/>
      <c r="G124" s="158">
        <v>-100</v>
      </c>
      <c r="H124" s="194"/>
    </row>
    <row r="125" spans="1:8" ht="12.75" customHeight="1" x14ac:dyDescent="0.25">
      <c r="A125" s="174" t="s">
        <v>374</v>
      </c>
      <c r="B125" s="180" t="s">
        <v>158</v>
      </c>
      <c r="C125" s="193" t="s">
        <v>59</v>
      </c>
      <c r="D125" s="159">
        <v>148.11000000000001</v>
      </c>
      <c r="E125" s="159">
        <f t="shared" si="3"/>
        <v>74.055000000000007</v>
      </c>
      <c r="F125" s="159">
        <f>3490.38049/4*6</f>
        <v>5235.5707350000002</v>
      </c>
      <c r="G125" s="158">
        <v>6969.8409763013969</v>
      </c>
      <c r="H125" s="194"/>
    </row>
    <row r="126" spans="1:8" ht="12.75" customHeight="1" x14ac:dyDescent="0.25">
      <c r="A126" s="174" t="s">
        <v>399</v>
      </c>
      <c r="B126" s="180" t="s">
        <v>372</v>
      </c>
      <c r="C126" s="193" t="s">
        <v>59</v>
      </c>
      <c r="D126" s="159">
        <v>6818.41</v>
      </c>
      <c r="E126" s="159">
        <f t="shared" si="3"/>
        <v>3409.2049999999999</v>
      </c>
      <c r="F126" s="159">
        <v>0</v>
      </c>
      <c r="G126" s="158">
        <v>-100</v>
      </c>
      <c r="H126" s="194"/>
    </row>
    <row r="127" spans="1:8" ht="12.75" customHeight="1" x14ac:dyDescent="0.25">
      <c r="A127" s="183" t="s">
        <v>133</v>
      </c>
      <c r="B127" s="178" t="s">
        <v>218</v>
      </c>
      <c r="C127" s="190" t="s">
        <v>59</v>
      </c>
      <c r="D127" s="19">
        <f>D128+D129</f>
        <v>24084.77</v>
      </c>
      <c r="E127" s="19">
        <f>E128+E129</f>
        <v>8028.2566666666671</v>
      </c>
      <c r="F127" s="181">
        <v>0</v>
      </c>
      <c r="G127" s="158">
        <v>-100</v>
      </c>
      <c r="H127" s="194"/>
    </row>
    <row r="128" spans="1:8" ht="12.75" customHeight="1" x14ac:dyDescent="0.25">
      <c r="A128" s="183"/>
      <c r="B128" s="180" t="s">
        <v>216</v>
      </c>
      <c r="C128" s="193" t="s">
        <v>59</v>
      </c>
      <c r="D128" s="159">
        <v>23889.77</v>
      </c>
      <c r="E128" s="159">
        <f>D128/12*4</f>
        <v>7963.2566666666671</v>
      </c>
      <c r="F128" s="159">
        <v>0</v>
      </c>
      <c r="G128" s="158">
        <v>-100</v>
      </c>
      <c r="H128" s="194"/>
    </row>
    <row r="129" spans="1:8" ht="12.75" customHeight="1" x14ac:dyDescent="0.25">
      <c r="A129" s="183"/>
      <c r="B129" s="180" t="s">
        <v>217</v>
      </c>
      <c r="C129" s="193" t="s">
        <v>59</v>
      </c>
      <c r="D129" s="159">
        <v>195</v>
      </c>
      <c r="E129" s="159">
        <f>D129/12*4</f>
        <v>65</v>
      </c>
      <c r="F129" s="159"/>
      <c r="G129" s="158">
        <v>-100</v>
      </c>
      <c r="H129" s="194"/>
    </row>
    <row r="130" spans="1:8" ht="12.75" customHeight="1" x14ac:dyDescent="0.25">
      <c r="A130" s="183" t="s">
        <v>71</v>
      </c>
      <c r="B130" s="157" t="s">
        <v>219</v>
      </c>
      <c r="C130" s="190" t="s">
        <v>59</v>
      </c>
      <c r="D130" s="181">
        <f>D7+D62</f>
        <v>2146421.8900000006</v>
      </c>
      <c r="E130" s="181">
        <f>E7+E62</f>
        <v>1069196.8166666669</v>
      </c>
      <c r="F130" s="181">
        <f>F7+F62</f>
        <v>1009130.3566999999</v>
      </c>
      <c r="G130" s="158">
        <v>-6.4181559570674143</v>
      </c>
      <c r="H130" s="194"/>
    </row>
    <row r="131" spans="1:8" ht="12.75" customHeight="1" x14ac:dyDescent="0.25">
      <c r="A131" s="183" t="s">
        <v>72</v>
      </c>
      <c r="B131" s="157" t="s">
        <v>220</v>
      </c>
      <c r="C131" s="190" t="s">
        <v>59</v>
      </c>
      <c r="D131" s="209">
        <f>D137-D134-D133-D132-D130</f>
        <v>0</v>
      </c>
      <c r="E131" s="209">
        <f>E137-E134-E133-E132-E130</f>
        <v>4014.1133333332837</v>
      </c>
      <c r="F131" s="19">
        <f>F137-F130-F134</f>
        <v>103222.97267000005</v>
      </c>
      <c r="G131" s="158">
        <v>3663.1531384681489</v>
      </c>
      <c r="H131" s="194"/>
    </row>
    <row r="132" spans="1:8" ht="12.75" customHeight="1" x14ac:dyDescent="0.25">
      <c r="A132" s="183"/>
      <c r="B132" s="157" t="s">
        <v>562</v>
      </c>
      <c r="C132" s="190"/>
      <c r="D132" s="209">
        <v>180021.9</v>
      </c>
      <c r="E132" s="209">
        <f t="shared" ref="E132:E134" si="4">D132/12*6</f>
        <v>90010.95</v>
      </c>
      <c r="F132" s="19">
        <f>F131</f>
        <v>103222.97267000005</v>
      </c>
      <c r="G132" s="158">
        <v>0</v>
      </c>
      <c r="H132" s="194"/>
    </row>
    <row r="133" spans="1:8" ht="12.75" customHeight="1" x14ac:dyDescent="0.25">
      <c r="A133" s="198" t="s">
        <v>73</v>
      </c>
      <c r="B133" s="178" t="s">
        <v>134</v>
      </c>
      <c r="C133" s="190" t="s">
        <v>59</v>
      </c>
      <c r="D133" s="19">
        <v>33969.800000000003</v>
      </c>
      <c r="E133" s="19">
        <f t="shared" si="4"/>
        <v>16984.900000000001</v>
      </c>
      <c r="F133" s="19">
        <v>0</v>
      </c>
      <c r="G133" s="158">
        <v>-100</v>
      </c>
      <c r="H133" s="194"/>
    </row>
    <row r="134" spans="1:8" ht="24" customHeight="1" x14ac:dyDescent="0.25">
      <c r="A134" s="183" t="s">
        <v>74</v>
      </c>
      <c r="B134" s="178" t="s">
        <v>215</v>
      </c>
      <c r="C134" s="190" t="s">
        <v>59</v>
      </c>
      <c r="D134" s="19">
        <v>78556</v>
      </c>
      <c r="E134" s="19">
        <f t="shared" si="4"/>
        <v>39278</v>
      </c>
      <c r="F134" s="19">
        <f>E134</f>
        <v>39278</v>
      </c>
      <c r="G134" s="158">
        <v>-100</v>
      </c>
      <c r="H134" s="194"/>
    </row>
    <row r="135" spans="1:8" s="216" customFormat="1" ht="12.75" customHeight="1" x14ac:dyDescent="0.25">
      <c r="A135" s="183" t="s">
        <v>75</v>
      </c>
      <c r="B135" s="157" t="s">
        <v>221</v>
      </c>
      <c r="C135" s="190" t="s">
        <v>59</v>
      </c>
      <c r="D135" s="19">
        <v>3253640.72</v>
      </c>
      <c r="E135" s="19">
        <f>D135</f>
        <v>3253640.72</v>
      </c>
      <c r="F135" s="19">
        <f>E135</f>
        <v>3253640.72</v>
      </c>
      <c r="G135" s="158">
        <v>0</v>
      </c>
      <c r="H135" s="194"/>
    </row>
    <row r="136" spans="1:8" s="216" customFormat="1" ht="12.75" customHeight="1" x14ac:dyDescent="0.25">
      <c r="A136" s="183"/>
      <c r="B136" s="157" t="s">
        <v>563</v>
      </c>
      <c r="C136" s="190"/>
      <c r="D136" s="19"/>
      <c r="E136" s="19"/>
      <c r="F136" s="19"/>
      <c r="G136" s="158" t="e">
        <v>#DIV/0!</v>
      </c>
      <c r="H136" s="218"/>
    </row>
    <row r="137" spans="1:8" ht="12.75" customHeight="1" x14ac:dyDescent="0.25">
      <c r="A137" s="198" t="s">
        <v>76</v>
      </c>
      <c r="B137" s="157" t="s">
        <v>54</v>
      </c>
      <c r="C137" s="190" t="s">
        <v>59</v>
      </c>
      <c r="D137" s="19">
        <f>D130+D133+D134+D132</f>
        <v>2438969.5900000003</v>
      </c>
      <c r="E137" s="19">
        <f>E138+E139+E140</f>
        <v>1219484.78</v>
      </c>
      <c r="F137" s="19">
        <f>F138+F139+F140</f>
        <v>1151631.3293699999</v>
      </c>
      <c r="G137" s="158">
        <v>-5.5641080350342786</v>
      </c>
      <c r="H137" s="252" t="s">
        <v>446</v>
      </c>
    </row>
    <row r="138" spans="1:8" ht="12.75" customHeight="1" x14ac:dyDescent="0.25">
      <c r="A138" s="207"/>
      <c r="B138" s="35" t="s">
        <v>340</v>
      </c>
      <c r="C138" s="193"/>
      <c r="D138" s="159">
        <v>795665.05</v>
      </c>
      <c r="E138" s="159">
        <f t="shared" ref="E138:E144" si="5">D138/12*6</f>
        <v>397832.52500000002</v>
      </c>
      <c r="F138" s="159">
        <v>359219.91265999997</v>
      </c>
      <c r="G138" s="158">
        <v>-9.7057454867472295</v>
      </c>
      <c r="H138" s="253"/>
    </row>
    <row r="139" spans="1:8" ht="12.75" customHeight="1" x14ac:dyDescent="0.25">
      <c r="A139" s="207"/>
      <c r="B139" s="35" t="s">
        <v>341</v>
      </c>
      <c r="C139" s="193"/>
      <c r="D139" s="159">
        <v>947008.21</v>
      </c>
      <c r="E139" s="159">
        <f t="shared" si="5"/>
        <v>473504.10499999998</v>
      </c>
      <c r="F139" s="159">
        <v>410346.48567000002</v>
      </c>
      <c r="G139" s="158">
        <v>-13.338346735135476</v>
      </c>
      <c r="H139" s="253"/>
    </row>
    <row r="140" spans="1:8" ht="12.75" customHeight="1" x14ac:dyDescent="0.25">
      <c r="A140" s="207"/>
      <c r="B140" s="35" t="s">
        <v>342</v>
      </c>
      <c r="C140" s="193"/>
      <c r="D140" s="159">
        <v>696296.3</v>
      </c>
      <c r="E140" s="159">
        <f t="shared" si="5"/>
        <v>348148.15</v>
      </c>
      <c r="F140" s="159">
        <v>382064.93104</v>
      </c>
      <c r="G140" s="158">
        <v>9.7420540766911934</v>
      </c>
      <c r="H140" s="253"/>
    </row>
    <row r="141" spans="1:8" ht="12.75" customHeight="1" x14ac:dyDescent="0.25">
      <c r="A141" s="198" t="s">
        <v>78</v>
      </c>
      <c r="B141" s="157" t="s">
        <v>128</v>
      </c>
      <c r="C141" s="190" t="s">
        <v>77</v>
      </c>
      <c r="D141" s="19">
        <f>D142+D143+D144</f>
        <v>14276.820000000002</v>
      </c>
      <c r="E141" s="159">
        <f t="shared" si="5"/>
        <v>7138.4100000000008</v>
      </c>
      <c r="F141" s="19">
        <f>F142+F143+F144</f>
        <v>6833.5611349999999</v>
      </c>
      <c r="G141" s="158">
        <v>-4.2705429500407064</v>
      </c>
      <c r="H141" s="253"/>
    </row>
    <row r="142" spans="1:8" ht="12.75" customHeight="1" x14ac:dyDescent="0.25">
      <c r="A142" s="198"/>
      <c r="B142" s="35" t="s">
        <v>340</v>
      </c>
      <c r="C142" s="190"/>
      <c r="D142" s="159">
        <v>9913.7800000000007</v>
      </c>
      <c r="E142" s="159">
        <f t="shared" si="5"/>
        <v>4956.8900000000003</v>
      </c>
      <c r="F142" s="159">
        <v>4694.0869750000002</v>
      </c>
      <c r="G142" s="158">
        <v>-5.3017723814730644</v>
      </c>
      <c r="H142" s="253"/>
    </row>
    <row r="143" spans="1:8" ht="12.75" customHeight="1" x14ac:dyDescent="0.25">
      <c r="A143" s="198"/>
      <c r="B143" s="35" t="s">
        <v>341</v>
      </c>
      <c r="C143" s="190"/>
      <c r="D143" s="159">
        <v>3859.86</v>
      </c>
      <c r="E143" s="159">
        <f t="shared" si="5"/>
        <v>1929.9300000000003</v>
      </c>
      <c r="F143" s="159">
        <v>1850.4004500000001</v>
      </c>
      <c r="G143" s="158">
        <v>-4.1208515334753173</v>
      </c>
      <c r="H143" s="253"/>
    </row>
    <row r="144" spans="1:8" ht="12.75" customHeight="1" x14ac:dyDescent="0.25">
      <c r="A144" s="198"/>
      <c r="B144" s="35" t="s">
        <v>342</v>
      </c>
      <c r="C144" s="190"/>
      <c r="D144" s="159">
        <v>503.18</v>
      </c>
      <c r="E144" s="159">
        <f t="shared" si="5"/>
        <v>251.58999999999997</v>
      </c>
      <c r="F144" s="159">
        <v>289.07371000000001</v>
      </c>
      <c r="G144" s="158">
        <v>14.898728089351737</v>
      </c>
      <c r="H144" s="253"/>
    </row>
    <row r="145" spans="1:8" ht="25.5" customHeight="1" x14ac:dyDescent="0.25">
      <c r="A145" s="198" t="s">
        <v>117</v>
      </c>
      <c r="B145" s="157" t="s">
        <v>80</v>
      </c>
      <c r="C145" s="190" t="s">
        <v>81</v>
      </c>
      <c r="D145" s="19">
        <f>D137/D141</f>
        <v>170.83423269327483</v>
      </c>
      <c r="E145" s="19">
        <f>E137/E141</f>
        <v>170.83423059196653</v>
      </c>
      <c r="F145" s="19">
        <f>F137/F141</f>
        <v>168.52579593845982</v>
      </c>
      <c r="G145" s="158">
        <v>-1.3512717243538557</v>
      </c>
      <c r="H145" s="254"/>
    </row>
    <row r="146" spans="1:8" ht="15" customHeight="1" x14ac:dyDescent="0.25">
      <c r="A146" s="198"/>
      <c r="B146" s="35" t="s">
        <v>340</v>
      </c>
      <c r="C146" s="190"/>
      <c r="D146" s="210">
        <v>80.260000000000005</v>
      </c>
      <c r="E146" s="210">
        <v>80.260000000000005</v>
      </c>
      <c r="F146" s="210">
        <f>F138/F142</f>
        <v>76.52604533600487</v>
      </c>
      <c r="G146" s="158">
        <v>-4.652323279336076</v>
      </c>
      <c r="H146" s="194"/>
    </row>
    <row r="147" spans="1:8" ht="15" customHeight="1" x14ac:dyDescent="0.25">
      <c r="A147" s="198"/>
      <c r="B147" s="35" t="s">
        <v>341</v>
      </c>
      <c r="C147" s="190"/>
      <c r="D147" s="210">
        <v>245.35</v>
      </c>
      <c r="E147" s="210">
        <v>245.35</v>
      </c>
      <c r="F147" s="210">
        <f>F139/F143</f>
        <v>221.76090892649751</v>
      </c>
      <c r="G147" s="158">
        <v>-9.6144654874678981</v>
      </c>
      <c r="H147" s="194"/>
    </row>
    <row r="148" spans="1:8" s="219" customFormat="1" ht="12.75" x14ac:dyDescent="0.2">
      <c r="A148" s="211"/>
      <c r="B148" s="35" t="s">
        <v>342</v>
      </c>
      <c r="C148" s="212"/>
      <c r="D148" s="210">
        <v>1383.78</v>
      </c>
      <c r="E148" s="210">
        <v>1383.78</v>
      </c>
      <c r="F148" s="210">
        <f>F140/F144</f>
        <v>1321.686884082264</v>
      </c>
      <c r="G148" s="158">
        <v>-4.487210099707756</v>
      </c>
      <c r="H148" s="194"/>
    </row>
  </sheetData>
  <mergeCells count="15">
    <mergeCell ref="A2:H2"/>
    <mergeCell ref="A3:H3"/>
    <mergeCell ref="A4:H4"/>
    <mergeCell ref="H17:H27"/>
    <mergeCell ref="G5:G6"/>
    <mergeCell ref="D5:D6"/>
    <mergeCell ref="F5:F6"/>
    <mergeCell ref="E5:E6"/>
    <mergeCell ref="H137:H145"/>
    <mergeCell ref="A5:A6"/>
    <mergeCell ref="B5:B6"/>
    <mergeCell ref="C5:C6"/>
    <mergeCell ref="H32:H61"/>
    <mergeCell ref="H75:H105"/>
    <mergeCell ref="H5:H6"/>
  </mergeCells>
  <phoneticPr fontId="14" type="noConversion"/>
  <pageMargins left="0.59055118110236227" right="0.23622047244094491" top="0.11811023622047245" bottom="0.39370078740157483" header="0.15748031496062992" footer="0.15748031496062992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расшиф кривой год</vt:lpstr>
      <vt:lpstr>Тар. сметы за 2024 г.(пит.вода)</vt:lpstr>
      <vt:lpstr>Тар. сметы за 2024 г.(стоки)</vt:lpstr>
      <vt:lpstr>'расшиф кривой год'!Область_печати</vt:lpstr>
      <vt:lpstr>'Тар. сметы за 2024 г.(пит.вода)'!Область_печати</vt:lpstr>
      <vt:lpstr>'Тар. сметы за 2024 г.(стоки)'!Область_печати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2024-06-25T10:38:04Z</dcterms:modified>
</cp:coreProperties>
</file>